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42D217FB-0FBA-4D5A-955C-3B7812CFA578}"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<sst xmlns="http://schemas.openxmlformats.org/spreadsheetml/2006/main" count="39113" uniqueCount="3090">
  <si>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</si>
  <si>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</si>
  <si>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</si>
  <si>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</si>
  <si>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</si>
  <si>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</si>
  <si>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</si>
  <si>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</si>
  <si>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</si>
  <si>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</si>
  <si>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</si>
  <si>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</si>
  <si>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</si>
  <si>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</si>
  <si>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</si>
  <si>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</si>
  <si>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</si>
  <si>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</si>
  <si>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</si>
  <si>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</si>
  <si>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</si>
  <si>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</si>
  <si>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</si>
  <si>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</si>
  <si>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</si>
  <si>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</si>
  <si>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</si>
  <si>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</si>
  <si>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</si>
  <si>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</si>
  <si>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</si>
  <si>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</si>
  <si>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</si>
  <si>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</si>
  <si>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</si>
  <si>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</si>
  <si>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</si>
  <si>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</si>
  <si>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</si>
  <si>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</si>
  <si>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</si>
  <si>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</si>
  <si>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</si>
  <si>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</si>
  <si>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</si>
  <si>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</si>
  <si>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</si>
  <si>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</si>
  <si>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</si>
  <si>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</si>
  <si>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</si>
  <si>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</si>
  <si>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</si>
  <si>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</si>
  <si>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</si>
  <si>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</si>
  <si>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</si>
  <si>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</si>
  <si>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</si>
  <si>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</si>
  <si>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</si>
  <si>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</si>
  <si>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</si>
  <si>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</si>
  <si>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</si>
  <si>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</si>
  <si>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</si>
  <si>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</si>
  <si>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</si>
  <si>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</si>
  <si>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</si>
  <si>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</si>
  <si>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</si>
  <si>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</si>
  <si>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</si>
  <si>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</si>
  <si>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</si>
  <si>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</si>
  <si>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</si>
  <si>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</si>
  <si>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</si>
  <si>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</si>
  <si>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</si>
  <si>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</si>
  <si>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</si>
  <si>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</si>
  <si>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</si>
  <si>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</si>
  <si>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</si>
  <si>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</si>
  <si>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</si>
  <si>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</si>
  <si>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</si>
  <si>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</si>
  <si>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</si>
  <si>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</si>
  <si>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</si>
  <si>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</si>
  <si>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</si>
  <si>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</si>
  <si>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</si>
  <si>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</si>
  <si>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</si>
  <si>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</si>
  <si>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</si>
  <si>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</si>
  <si>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</si>
  <si>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</si>
  <si>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</si>
  <si>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</si>
  <si>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</si>
  <si>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</si>
  <si>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</si>
  <si>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</si>
  <si>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</si>
  <si>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</si>
  <si>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</si>
  <si>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</si>
  <si>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</si>
  <si>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</si>
  <si>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</si>
  <si>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</si>
  <si>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</si>
  <si>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</si>
  <si>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</si>
  <si>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</si>
  <si>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</si>
  <si>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</si>
  <si>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</si>
  <si>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</si>
  <si>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</si>
  <si>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</si>
  <si>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</si>
  <si>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</si>
  <si>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</si>
  <si>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</si>
  <si>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</si>
  <si>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</si>
  <si>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</si>
  <si>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</si>
  <si>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</si>
  <si>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</si>
  <si>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</si>
  <si>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</si>
  <si>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</si>
  <si>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</si>
  <si>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</si>
  <si>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</si>
  <si>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</si>
  <si>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</si>
  <si>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</si>
  <si>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</si>
  <si>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</si>
  <si>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</si>
  <si>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</si>
  <si>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</si>
  <si>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</si>
  <si>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</si>
  <si>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</si>
  <si>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</si>
  <si>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</si>
  <si>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</si>
  <si>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</si>
  <si>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</si>
  <si>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</si>
  <si>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</si>
  <si>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</si>
  <si>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</si>
  <si>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</si>
  <si>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</si>
  <si>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</si>
  <si>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</si>
  <si>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</si>
  <si>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</si>
  <si>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</si>
  <si>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</si>
  <si>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</si>
  <si>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</si>
  <si>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</si>
  <si>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</si>
  <si>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</si>
  <si>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</si>
  <si>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</si>
  <si>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</si>
  <si>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</si>
  <si>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</si>
  <si>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</si>
  <si>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</si>
  <si>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</si>
  <si>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</si>
  <si>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</si>
  <si>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</si>
  <si>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</si>
  <si>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</si>
  <si>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</si>
  <si>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</si>
  <si>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</si>
  <si>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</si>
  <si>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</si>
  <si>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</si>
  <si>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</si>
  <si>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</si>
  <si>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</si>
  <si>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</si>
  <si>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</si>
  <si>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</si>
  <si>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</si>
  <si>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</si>
  <si>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</si>
  <si>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</si>
  <si>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</si>
  <si>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</si>
  <si>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</si>
  <si>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</si>
  <si>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</si>
  <si>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</si>
  <si>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</si>
  <si>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</si>
  <si>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</si>
  <si>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</si>
  <si>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</si>
  <si>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</si>
  <si>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</si>
  <si>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</si>
  <si>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</si>
  <si>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</si>
  <si>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</si>
  <si>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</si>
  <si>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</si>
  <si>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</si>
  <si>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</si>
  <si>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</si>
  <si>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</si>
  <si>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</si>
  <si>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</si>
  <si>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</si>
  <si>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</si>
  <si>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</si>
  <si>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</si>
  <si>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</si>
  <si>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</si>
  <si>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</si>
  <si>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</si>
  <si>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</si>
  <si>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</si>
  <si>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</si>
  <si>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</si>
  <si>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</si>
  <si>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</si>
  <si>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</si>
  <si>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</si>
  <si>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</si>
  <si>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</si>
  <si>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</si>
  <si>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</si>
  <si>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</si>
  <si>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</si>
  <si>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</si>
  <si>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</si>
  <si>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</si>
  <si>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</si>
  <si>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</si>
  <si>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</si>
  <si>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</si>
  <si>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</si>
  <si>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</si>
  <si>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</si>
  <si>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</si>
  <si>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</si>
  <si>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</si>
  <si>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</si>
  <si>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</si>
  <si>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</si>
  <si>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</si>
  <si>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</si>
  <si>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</si>
  <si>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</si>
  <si>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</si>
  <si>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</si>
  <si>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</si>
  <si>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</si>
  <si>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</si>
  <si>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</si>
  <si>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</si>
  <si>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</si>
  <si>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</si>
  <si>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</si>
  <si>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</si>
  <si>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</si>
  <si>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</si>
  <si>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</si>
  <si>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</si>
  <si>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</si>
  <si>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</si>
  <si>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</si>
  <si>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</si>
  <si>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</si>
  <si>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</si>
  <si>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</si>
  <si>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</si>
  <si>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</si>
  <si>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</si>
  <si>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</si>
  <si>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</si>
  <si>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</si>
  <si>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</si>
  <si>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</si>
  <si>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</si>
  <si>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</si>
  <si>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</si>
  <si>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</si>
  <si>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</si>
  <si>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</si>
  <si>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</si>
  <si>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</si>
  <si>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</si>
  <si>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</si>
  <si>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</si>
  <si>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</si>
  <si>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</si>
  <si>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</si>
  <si>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</si>
  <si>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</si>
  <si>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</si>
  <si>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</si>
  <si>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</si>
  <si>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</si>
  <si>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</si>
  <si>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</si>
  <si>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</si>
  <si>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</si>
  <si>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</si>
  <si>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</si>
  <si>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</si>
  <si>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</si>
  <si>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</si>
  <si>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</si>
  <si>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</si>
  <si>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</si>
  <si>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</si>
  <si>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</si>
  <si>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</si>
  <si>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</si>
  <si>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</si>
  <si>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</si>
  <si>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</si>
  <si>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</si>
  <si>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</si>
  <si>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</si>
  <si>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</si>
  <si>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</si>
  <si>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</si>
  <si>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</si>
  <si>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</si>
  <si>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</si>
  <si>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</si>
  <si>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</si>
  <si>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</si>
  <si>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</si>
  <si>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</si>
  <si>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</si>
  <si>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</si>
  <si>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</si>
  <si>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</si>
  <si>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</si>
  <si>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</si>
  <si>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</si>
  <si>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</si>
  <si>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</si>
  <si>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</si>
  <si>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</si>
  <si>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</si>
  <si>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</si>
  <si>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</si>
  <si>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</si>
  <si>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</si>
  <si>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</si>
  <si>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</si>
  <si>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</si>
  <si>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</si>
  <si>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</si>
  <si>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</si>
  <si>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</si>
  <si>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</si>
  <si>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</si>
  <si>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</si>
  <si>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</si>
  <si>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</si>
  <si>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</si>
  <si>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</si>
  <si>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</si>
  <si>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</si>
  <si>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</si>
  <si>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</si>
  <si>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</si>
  <si>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</si>
  <si>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</si>
  <si>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</si>
  <si>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</si>
  <si>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</si>
  <si>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</si>
  <si>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</si>
  <si>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</si>
  <si>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</si>
  <si>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</si>
  <si>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</si>
  <si>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</si>
  <si>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</si>
  <si>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</si>
  <si>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</si>
  <si>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</si>
  <si>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</si>
  <si>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</si>
  <si>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</si>
  <si>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</si>
  <si>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</si>
  <si>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</si>
  <si>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</si>
  <si>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</si>
  <si>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</si>
  <si>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</si>
  <si>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</si>
  <si>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</si>
  <si>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</si>
  <si>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</si>
  <si>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</si>
  <si>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</si>
  <si>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</si>
  <si>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</si>
  <si>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</si>
  <si>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</si>
  <si>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</si>
  <si>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</si>
  <si>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</si>
  <si>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</si>
  <si>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</si>
  <si>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</si>
  <si>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</si>
  <si>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</si>
  <si>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</si>
  <si>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</si>
  <si>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</si>
  <si>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</si>
  <si>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</si>
  <si>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</si>
  <si>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</si>
  <si>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</si>
  <si>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</si>
  <si>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</si>
  <si>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</si>
  <si>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</si>
  <si>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</si>
  <si>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</si>
  <si>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</si>
  <si>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</si>
  <si>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</si>
  <si>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</si>
  <si>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</si>
  <si>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</si>
  <si>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</si>
  <si>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</si>
  <si>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</si>
  <si>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</si>
  <si>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</si>
  <si>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</si>
  <si>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</si>
  <si>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</si>
  <si>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</si>
  <si>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</si>
  <si>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</si>
  <si>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</si>
  <si>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</si>
  <si>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</si>
  <si>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</si>
  <si>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</si>
  <si>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</si>
  <si>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</si>
  <si>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</si>
  <si>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</si>
  <si>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</si>
  <si>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</si>
  <si>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</si>
  <si>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</si>
  <si>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</si>
  <si>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</si>
  <si>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</si>
  <si>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</si>
  <si>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</si>
  <si>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</si>
  <si>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</si>
  <si>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</si>
  <si>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</si>
  <si>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</si>
  <si>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</si>
  <si>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</si>
  <si>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</si>
  <si>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</si>
  <si>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</si>
  <si>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</si>
  <si>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</si>
  <si>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</si>
  <si>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</si>
  <si>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</si>
  <si>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</si>
  <si>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</si>
  <si>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</si>
  <si>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</si>
  <si>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</si>
  <si>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</si>
  <si>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</si>
  <si>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</si>
  <si>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</si>
  <si>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</si>
  <si>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</si>
  <si>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</si>
  <si>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</si>
  <si>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</si>
  <si>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</si>
  <si>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</si>
  <si>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</si>
  <si>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</si>
  <si>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</si>
  <si>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</si>
  <si>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</si>
  <si>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</si>
  <si>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</si>
  <si>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</si>
  <si>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</si>
  <si>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</si>
  <si>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</si>
  <si>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</si>
  <si>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</si>
  <si>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</si>
  <si>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</si>
  <si>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</si>
  <si>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</si>
  <si>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</si>
  <si>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</si>
  <si>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</si>
  <si>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</si>
  <si>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</si>
  <si>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</si>
  <si>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</si>
  <si>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</si>
  <si>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</si>
  <si>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</si>
  <si>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</si>
  <si>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</si>
  <si>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</si>
  <si>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</si>
  <si>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</si>
  <si>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</si>
  <si>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</si>
  <si>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</si>
  <si>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</si>
  <si>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</si>
  <si>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</si>
  <si>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</si>
  <si>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</si>
  <si>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</si>
  <si>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</si>
  <si>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</si>
  <si>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</si>
  <si>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</si>
  <si>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</si>
  <si>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</si>
  <si>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</si>
  <si>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</si>
  <si>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</si>
  <si>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</si>
  <si>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</si>
  <si>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</si>
  <si>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</si>
  <si>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</si>
  <si>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</si>
  <si>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</si>
  <si>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</si>
  <si>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</si>
  <si>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</si>
  <si>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</si>
  <si>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</si>
  <si>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</si>
  <si>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</si>
  <si>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</si>
  <si>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</si>
  <si>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</si>
  <si>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</si>
  <si>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</si>
  <si>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</si>
  <si>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</si>
  <si>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</si>
  <si>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</si>
  <si>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</si>
  <si>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</si>
  <si>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</si>
  <si>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</si>
  <si>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</si>
  <si>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</si>
  <si>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</si>
  <si>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</si>
  <si>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</si>
  <si>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</si>
  <si>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</si>
  <si>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</si>
  <si>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</si>
  <si>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</si>
  <si>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</si>
  <si>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</si>
  <si>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</si>
  <si>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</si>
  <si>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</si>
  <si>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</si>
  <si>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</si>
  <si>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</si>
  <si>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</si>
  <si>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</si>
  <si>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</si>
  <si>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</si>
  <si>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</si>
  <si>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</si>
  <si>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</si>
  <si>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</si>
  <si>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</si>
  <si>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</si>
  <si>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</si>
  <si>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</si>
  <si>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</si>
  <si>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</si>
  <si>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</si>
  <si>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</si>
  <si>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</si>
  <si>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</si>
  <si>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</si>
  <si>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</si>
  <si>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</si>
  <si>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</si>
  <si>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</si>
  <si>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</si>
  <si>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</si>
  <si>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</si>
  <si>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</si>
  <si>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</si>
  <si>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</si>
  <si>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</si>
  <si>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</si>
  <si>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</si>
  <si>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</si>
  <si>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</si>
  <si>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</si>
  <si>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</si>
  <si>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</si>
  <si>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</si>
  <si>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</si>
  <si>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</si>
  <si>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</si>
  <si>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</si>
  <si>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</si>
  <si>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</si>
  <si>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</si>
  <si>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</si>
  <si>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</si>
  <si>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</si>
  <si>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</si>
  <si>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</si>
  <si>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</si>
  <si>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</si>
  <si>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</si>
  <si>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</si>
  <si>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</si>
  <si>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</si>
  <si>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</si>
  <si>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</si>
  <si>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</si>
  <si>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</si>
  <si>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</si>
  <si>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</si>
  <si>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</si>
  <si>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</si>
  <si>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</si>
  <si>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</si>
  <si>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</si>
  <si>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</si>
  <si>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</si>
  <si>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</si>
  <si>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</si>
  <si>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</si>
  <si>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</si>
  <si>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</si>
  <si>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</si>
  <si>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</si>
  <si>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</si>
  <si>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</si>
  <si>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</si>
  <si>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</si>
  <si>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</si>
  <si>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</si>
  <si>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</si>
  <si>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</si>
  <si>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</si>
  <si>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</si>
  <si>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</si>
  <si>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</si>
  <si>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</si>
  <si>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</si>
  <si>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</si>
  <si>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</si>
  <si>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</si>
  <si>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</si>
  <si>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</si>
  <si>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</si>
  <si>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</si>
  <si>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</si>
  <si>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</si>
  <si>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</si>
  <si>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</si>
  <si>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</si>
  <si>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</si>
  <si>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</si>
  <si>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</si>
  <si>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</si>
  <si>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</si>
  <si>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</si>
  <si>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</si>
  <si>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</si>
  <si>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</si>
  <si>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</si>
  <si>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</si>
  <si>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</si>
  <si>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</si>
  <si>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</si>
  <si>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</si>
  <si>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</si>
  <si>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</si>
  <si>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</si>
  <si>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</si>
  <si>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</si>
  <si>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</si>
  <si>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</si>
  <si>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</si>
  <si>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</si>
  <si>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</si>
  <si>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</si>
  <si>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</si>
  <si>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</si>
  <si>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</si>
  <si>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</si>
  <si>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</si>
  <si>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</si>
  <si>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</si>
  <si>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</si>
  <si>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</si>
  <si>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</si>
  <si>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</si>
  <si>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</si>
  <si>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</si>
  <si>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</si>
  <si>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</si>
  <si>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</si>
  <si>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</si>
  <si>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</si>
  <si>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</si>
  <si>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</si>
  <si>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</si>
  <si>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</si>
  <si>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</si>
  <si>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</si>
  <si>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</si>
  <si>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</si>
  <si>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</si>
  <si>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</si>
  <si>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</si>
  <si>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</si>
  <si>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</si>
  <si>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</si>
  <si>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</si>
  <si>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</si>
  <si>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</si>
  <si>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</si>
  <si>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</si>
  <si>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</si>
  <si>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</si>
  <si>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</si>
  <si>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</si>
  <si>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</si>
  <si>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</si>
  <si>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</si>
  <si>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</si>
  <si>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</si>
  <si>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</si>
  <si>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</si>
  <si>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</si>
  <si>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</si>
  <si>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</si>
  <si>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</si>
  <si>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</si>
  <si>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</si>
  <si>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</si>
  <si>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</si>
  <si>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</si>
  <si>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</si>
  <si>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</si>
  <si>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</si>
  <si>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</si>
  <si>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</si>
  <si>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</si>
  <si>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</si>
  <si>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</si>
  <si>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</si>
  <si>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</si>
  <si>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</si>
  <si>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</si>
  <si>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</si>
  <si>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</si>
  <si>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</si>
  <si>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</si>
  <si>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</si>
  <si>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</si>
  <si>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</si>
  <si>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</si>
  <si>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</si>
  <si>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</si>
  <si>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</si>
  <si>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</si>
  <si>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</si>
  <si>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</si>
  <si>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</si>
  <si>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</si>
  <si>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</si>
  <si>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</si>
  <si>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</si>
  <si>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</si>
  <si>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</si>
  <si>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</si>
  <si>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</si>
  <si>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</si>
  <si>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</si>
  <si>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</si>
  <si>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</si>
  <si>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</si>
  <si>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</si>
  <si>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</si>
  <si>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</si>
  <si>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</si>
  <si>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</si>
  <si>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</si>
  <si>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</si>
  <si>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</si>
  <si>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</si>
  <si>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</si>
  <si>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</si>
  <si>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</si>
  <si>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</si>
  <si>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</si>
  <si>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</si>
  <si>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</si>
  <si>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</si>
  <si>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</si>
  <si>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</si>
  <si>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</si>
  <si>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</si>
  <si>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</si>
  <si>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</si>
  <si>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</si>
  <si>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</si>
  <si>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</si>
  <si>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</si>
  <si>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</si>
  <si>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</si>
  <si>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</si>
  <si>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</si>
  <si>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</si>
  <si>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</si>
  <si>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</si>
  <si>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</si>
  <si>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</si>
  <si>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</si>
  <si>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</si>
  <si>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</si>
  <si>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</si>
  <si>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</si>
  <si>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</si>
  <si>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</si>
  <si>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</si>
  <si>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</si>
  <si>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</si>
  <si>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</si>
  <si>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</si>
  <si>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</si>
  <si>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</si>
  <si>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</si>
  <si>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</si>
  <si>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</si>
  <si>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</si>
  <si>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</si>
  <si>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</si>
  <si>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</si>
  <si>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</si>
  <si>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</si>
  <si>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</si>
  <si>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</si>
  <si>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</si>
  <si>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</si>
  <si>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</si>
  <si>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</si>
  <si>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</si>
  <si>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</si>
  <si>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</si>
  <si>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</si>
  <si>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</si>
  <si>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</si>
  <si>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</si>
  <si>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</si>
  <si>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</si>
  <si>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</si>
  <si>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</si>
  <si>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</si>
  <si>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</si>
  <si>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</si>
  <si>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</si>
  <si>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</si>
  <si>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</si>
  <si>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</si>
  <si>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</si>
  <si>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</si>
  <si>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</si>
  <si>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</si>
  <si>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</si>
  <si>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</si>
  <si>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</si>
  <si>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</si>
  <si>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</si>
  <si>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</si>
  <si>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</si>
  <si>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</si>
  <si>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</si>
  <si>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</si>
  <si>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</si>
  <si>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</si>
  <si>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</si>
  <si>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</si>
  <si>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</si>
  <si>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</si>
  <si>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</si>
  <si>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</si>
  <si>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</si>
  <si>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</si>
  <si>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</si>
  <si>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</si>
  <si>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</si>
  <si>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</si>
  <si>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</si>
  <si>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</si>
  <si>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</si>
  <si>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</si>
  <si>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</si>
  <si>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</si>
  <si>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</si>
  <si>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</si>
  <si>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</si>
  <si>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</si>
  <si>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</si>
  <si>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</si>
  <si>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</si>
  <si>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</si>
  <si>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</si>
  <si>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</si>
  <si>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</si>
  <si>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</si>
  <si>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</si>
  <si>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</si>
  <si>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</si>
  <si>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</si>
  <si>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</si>
  <si>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</si>
  <si>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</si>
  <si>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</si>
  <si>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</si>
  <si>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</si>
  <si>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</si>
  <si>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</si>
  <si>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</si>
  <si>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</si>
  <si>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</si>
  <si>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</si>
  <si>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</si>
  <si>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</si>
  <si>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</si>
  <si>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</si>
  <si>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</si>
  <si>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</si>
  <si>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</si>
  <si>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</si>
  <si>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</si>
  <si>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</si>
  <si>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</si>
  <si>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</si>
  <si>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</si>
  <si>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</si>
  <si>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</si>
  <si>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</si>
  <si>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</si>
  <si>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</si>
  <si>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</si>
  <si>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</si>
  <si>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</si>
  <si>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</si>
  <si>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</si>
  <si>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</si>
  <si>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</si>
  <si>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</si>
  <si>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</si>
  <si>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</si>
  <si>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</si>
  <si>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</si>
  <si>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</si>
  <si>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</si>
  <si>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</si>
  <si>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</si>
  <si>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</si>
  <si>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</si>
  <si>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</si>
  <si>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</si>
  <si>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</si>
  <si>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</si>
  <si>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</si>
  <si>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</si>
  <si>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</si>
  <si>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</si>
  <si>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</si>
  <si>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</si>
  <si>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</si>
  <si>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</si>
  <si>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</si>
  <si>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</si>
  <si>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</si>
  <si>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</si>
  <si>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</si>
  <si>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</si>
  <si>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</si>
  <si>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</si>
  <si>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</si>
  <si>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</si>
  <si>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</si>
  <si>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</si>
  <si>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</si>
  <si>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</si>
  <si>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</si>
  <si>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</si>
  <si>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</si>
  <si>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</si>
  <si>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</si>
  <si>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</si>
  <si>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</si>
  <si>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</si>
  <si>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</si>
  <si>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</si>
  <si>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</si>
  <si>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</si>
  <si>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</si>
  <si>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</si>
  <si>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</si>
  <si>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</si>
  <si>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</si>
  <si>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</si>
  <si>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</si>
  <si>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</si>
  <si>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</si>
  <si>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</si>
  <si>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</si>
  <si>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</si>
  <si>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</si>
  <si>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</si>
  <si>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</si>
  <si>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</si>
  <si>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</si>
  <si>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</si>
  <si>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</si>
  <si>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</si>
  <si>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</si>
  <si>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</si>
  <si>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</si>
  <si>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</si>
  <si>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</si>
  <si>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</si>
  <si>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</si>
  <si>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</si>
  <si>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</si>
  <si>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</si>
  <si>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</si>
  <si>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</si>
  <si>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</si>
  <si>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</si>
  <si>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</si>
  <si>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</si>
  <si>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</si>
  <si>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</si>
  <si>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</si>
  <si>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</si>
  <si>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</si>
  <si>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</si>
  <si>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</si>
  <si>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</si>
  <si>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</si>
  <si>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</si>
  <si>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</si>
  <si>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</si>
  <si>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</si>
  <si>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</si>
  <si>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</si>
  <si>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</si>
  <si>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</si>
  <si>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</si>
  <si>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</si>
  <si>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</si>
  <si>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</si>
  <si>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</si>
  <si>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</si>
  <si>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</si>
  <si>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</si>
  <si>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</si>
  <si>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</si>
  <si>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</si>
  <si>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</si>
  <si>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</si>
  <si>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</si>
  <si>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</si>
  <si>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</si>
  <si>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</si>
  <si>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</si>
  <si>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</si>
  <si>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</si>
  <si>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</si>
  <si>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</si>
  <si>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</si>
  <si>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</si>
  <si>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</si>
  <si>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</si>
  <si>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</si>
  <si>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</si>
  <si>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</si>
  <si>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</si>
  <si>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</si>
  <si>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</si>
  <si>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</si>
  <si>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</si>
  <si>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</si>
  <si>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</si>
  <si>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</si>
  <si>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</si>
  <si>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</si>
  <si>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</si>
  <si>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</si>
  <si>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</si>
  <si>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</si>
  <si>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</si>
  <si>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</si>
  <si>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</si>
  <si>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</si>
  <si>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</si>
  <si>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</si>
  <si>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</si>
  <si>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</si>
  <si>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</si>
  <si>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</si>
  <si>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</si>
  <si>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</si>
  <si>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</si>
  <si>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</si>
  <si>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</si>
  <si>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</si>
  <si>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</si>
  <si>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</si>
  <si>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</si>
  <si>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</si>
  <si>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</si>
  <si>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</si>
  <si>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</si>
  <si>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</si>
  <si>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</si>
  <si>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</si>
  <si>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</si>
  <si>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</si>
  <si>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</si>
  <si>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</si>
  <si>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</si>
  <si>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</si>
  <si>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</si>
  <si>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</si>
  <si>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</si>
  <si>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</si>
  <si>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</si>
  <si>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</si>
  <si>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</si>
  <si>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</si>
  <si>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</si>
  <si>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</si>
  <si>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</si>
  <si>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</si>
  <si>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</si>
  <si>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</si>
  <si>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</si>
  <si>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</si>
  <si>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</si>
  <si>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</si>
  <si>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</si>
  <si>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</si>
  <si>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</si>
  <si>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</si>
  <si>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</si>
  <si>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</si>
  <si>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</si>
  <si>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</si>
  <si>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</si>
  <si>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</si>
  <si>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</si>
  <si>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</si>
  <si>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</si>
  <si>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</si>
  <si>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</si>
  <si>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</si>
  <si>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</si>
  <si>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</si>
  <si>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</si>
  <si>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</si>
  <si>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</si>
  <si>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</si>
  <si>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</si>
  <si>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</si>
  <si>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</si>
  <si>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</si>
  <si>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</si>
  <si>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</si>
  <si>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</si>
  <si>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</si>
  <si>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</si>
  <si>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</si>
  <si>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</si>
  <si>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</si>
  <si>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</si>
  <si>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</si>
  <si>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</si>
  <si>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</si>
  <si>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</si>
  <si>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</si>
  <si>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</si>
  <si>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</si>
  <si>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</si>
  <si>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</si>
  <si>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</si>
  <si>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</si>
  <si>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</si>
  <si>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</si>
  <si>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</si>
  <si>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</si>
  <si>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</si>
  <si>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</si>
  <si>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</si>
  <si>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</si>
  <si>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</si>
  <si>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</si>
  <si>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</si>
  <si>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</si>
  <si>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</si>
  <si>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</si>
  <si>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</si>
  <si>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</si>
  <si>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</si>
  <si>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</si>
  <si>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</si>
  <si>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</si>
  <si>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</si>
  <si>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</si>
  <si>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</si>
  <si>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</si>
  <si>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</si>
  <si>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</si>
  <si>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</si>
  <si>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</si>
  <si>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</si>
  <si>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</si>
  <si>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</si>
  <si>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</si>
  <si>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</si>
  <si>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</si>
  <si>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</si>
  <si>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</si>
  <si>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</si>
  <si>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</si>
  <si>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</si>
  <si>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</si>
  <si>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</si>
  <si>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</si>
  <si>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</si>
  <si>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</si>
  <si>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</si>
  <si>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</si>
  <si>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</si>
  <si>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</si>
  <si>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</si>
  <si>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</si>
  <si>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</si>
  <si>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</si>
  <si>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</si>
  <si>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</si>
  <si>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</si>
  <si>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</si>
  <si>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</si>
  <si>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</si>
  <si>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</si>
  <si>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</si>
  <si>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</si>
  <si>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</si>
  <si>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</si>
  <si>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</si>
  <si>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</si>
  <si>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</si>
  <si>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</si>
  <si>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</si>
  <si>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</si>
  <si>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</si>
  <si>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</si>
  <si>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</si>
  <si>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</si>
  <si>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</si>
  <si>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</si>
  <si>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</si>
  <si>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</si>
  <si>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</si>
  <si>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</si>
  <si>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</si>
  <si>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</si>
  <si>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</si>
  <si>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</si>
  <si>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</si>
  <si>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</si>
  <si>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</si>
  <si>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</si>
  <si>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</si>
  <si>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</si>
  <si>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</si>
  <si>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</si>
  <si>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</si>
  <si>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</si>
  <si>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</si>
  <si>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</si>
  <si>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</si>
  <si>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</si>
  <si>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</si>
  <si>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</si>
  <si>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</si>
  <si>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</si>
  <si>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</si>
  <si>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</si>
  <si>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</si>
  <si>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</si>
  <si>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</si>
  <si>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</si>
  <si>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</si>
  <si>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</si>
  <si>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</si>
  <si>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</si>
  <si>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</si>
  <si>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</si>
  <si>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</si>
  <si>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</si>
  <si>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</si>
  <si>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</si>
  <si>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</si>
  <si>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</si>
  <si>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</si>
  <si>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</si>
  <si>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</si>
  <si>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</si>
  <si>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</si>
  <si>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</si>
  <si>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</si>
  <si>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</si>
  <si>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</si>
  <si>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</si>
  <si>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</si>
  <si>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</si>
  <si>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</si>
  <si>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</si>
  <si>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</si>
  <si>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</si>
  <si>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</si>
  <si>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</si>
  <si>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</si>
  <si>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</si>
  <si>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</si>
  <si>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</si>
  <si>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</si>
  <si>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</si>
  <si>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</si>
  <si>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</si>
  <si>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</si>
  <si>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</si>
  <si>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</si>
  <si>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</si>
  <si>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</si>
  <si>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</si>
  <si>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</si>
  <si>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</si>
  <si>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</si>
  <si>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</si>
  <si>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</si>
  <si>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</si>
  <si>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</si>
  <si>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</si>
  <si>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</si>
  <si>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</si>
  <si>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</si>
  <si>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</si>
  <si>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</si>
  <si>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</si>
  <si>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</si>
  <si>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</si>
  <si>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</si>
  <si>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</si>
  <si>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</si>
  <si>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</si>
  <si>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</si>
  <si>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</si>
  <si>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</si>
  <si>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</si>
  <si>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</si>
  <si>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</si>
  <si>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</si>
  <si>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</si>
  <si>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</si>
  <si>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</si>
  <si>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</si>
  <si>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</si>
  <si>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</si>
  <si>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</si>
  <si>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</si>
  <si>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</si>
  <si>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</si>
  <si>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</si>
  <si>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</si>
  <si>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</si>
  <si>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</si>
  <si>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</si>
  <si>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</si>
  <si>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</si>
  <si>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</si>
  <si>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</si>
  <si>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</si>
  <si>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</si>
  <si>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</si>
  <si>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</si>
  <si>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</si>
  <si>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</si>
  <si>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</si>
  <si>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</si>
  <si>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</si>
  <si>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</si>
  <si>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</si>
  <si>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</si>
  <si>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</si>
  <si>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</si>
  <si>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</si>
  <si>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</si>
  <si>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</si>
  <si>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</si>
  <si>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</si>
  <si>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</si>
  <si>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</si>
  <si>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</si>
  <si>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</si>
  <si>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</si>
  <si>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</si>
  <si>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</si>
  <si>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</si>
  <si>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</si>
  <si>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</si>
  <si>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</si>
  <si>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</si>
  <si>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</si>
  <si>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</si>
  <si>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</si>
  <si>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</si>
  <si>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</si>
  <si>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</si>
  <si>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</si>
  <si>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</si>
  <si>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</si>
  <si>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</si>
  <si>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</si>
  <si>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</si>
  <si>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</si>
  <si>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</si>
  <si>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</si>
  <si>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</si>
  <si>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</si>
  <si>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</si>
  <si>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</si>
  <si>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</si>
  <si>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</si>
  <si>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</si>
  <si>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</si>
  <si>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</si>
  <si>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</si>
  <si>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</si>
  <si>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</si>
  <si>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</si>
  <si>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</si>
  <si>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</si>
  <si>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</si>
  <si>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</si>
  <si>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</si>
  <si>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</si>
  <si>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</si>
  <si>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</si>
  <si>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</si>
  <si>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</si>
  <si>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</si>
  <si>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</si>
  <si>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</si>
  <si>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</si>
  <si>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</si>
  <si>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</si>
  <si>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</si>
  <si>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</si>
  <si>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</si>
  <si>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</si>
  <si>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</si>
  <si>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</si>
  <si>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</si>
  <si>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</si>
  <si>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</si>
  <si>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</si>
  <si>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</si>
  <si>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</si>
  <si>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</si>
  <si>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</si>
  <si>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</si>
  <si>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</si>
  <si>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</si>
  <si>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</si>
  <si>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</si>
  <si>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</si>
  <si>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</si>
  <si>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</si>
  <si>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</si>
  <si>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</si>
  <si>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</si>
  <si>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</si>
  <si>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</si>
  <si>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</si>
  <si>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</si>
  <si>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</si>
  <si>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</si>
  <si>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</si>
  <si>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</si>
  <si>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</si>
  <si>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</si>
  <si>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</si>
  <si>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</si>
  <si>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</si>
  <si>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</si>
  <si>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</si>
  <si>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</si>
  <si>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</si>
  <si>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</si>
  <si>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</si>
  <si>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</si>
  <si>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</si>
  <si>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</si>
  <si>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</si>
  <si>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</si>
  <si>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</si>
  <si>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</si>
  <si>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</si>
  <si>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</si>
  <si>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</si>
  <si>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</si>
  <si>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</si>
  <si>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</si>
  <si>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</si>
  <si>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</si>
  <si>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</si>
  <si>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</si>
  <si>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</si>
  <si>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</si>
  <si>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</si>
  <si>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</si>
  <si>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</si>
  <si>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</si>
  <si>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</si>
  <si>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</si>
  <si>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</si>
  <si>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</si>
  <si>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</si>
  <si>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</si>
  <si>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</si>
  <si>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</si>
  <si>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</si>
  <si>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</si>
  <si>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</si>
  <si>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</si>
  <si>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</si>
  <si>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</si>
  <si>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</si>
  <si>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</si>
  <si>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</si>
  <si>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</si>
  <si>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</si>
  <si>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</si>
  <si>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</si>
  <si>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</si>
  <si>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</si>
  <si>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</si>
  <si>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</si>
  <si>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</si>
  <si>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</si>
  <si>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</si>
  <si>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</si>
  <si>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</si>
  <si>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</si>
  <si>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</si>
  <si>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</si>
  <si>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</si>
  <si>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</si>
  <si>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</si>
  <si>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</si>
  <si>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</si>
  <si>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</si>
  <si>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</si>
  <si>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</si>
  <si>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</si>
  <si>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</si>
  <si>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</si>
  <si>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</si>
  <si>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</si>
  <si>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</si>
  <si>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</si>
  <si>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</si>
  <si>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</si>
  <si>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</si>
  <si>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</si>
  <si>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</si>
  <si>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</si>
  <si>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</si>
  <si>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</si>
  <si>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</si>
  <si>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</si>
  <si>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</si>
  <si>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</si>
  <si>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</si>
  <si>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</si>
  <si>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</si>
  <si>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</si>
  <si>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</si>
  <si>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</si>
  <si>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</si>
  <si>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</si>
  <si>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</si>
  <si>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</si>
  <si>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</si>
  <si>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</si>
  <si>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</si>
  <si>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</si>
  <si>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</si>
  <si>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</si>
  <si>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</si>
  <si>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</si>
  <si>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</si>
  <si>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</si>
  <si>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</si>
  <si>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</si>
  <si>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</si>
  <si>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</si>
  <si>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</si>
  <si>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</si>
  <si>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</si>
  <si>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</si>
  <si>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</si>
  <si>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</si>
  <si>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</si>
  <si>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</si>
  <si>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</si>
  <si>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</si>
  <si>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</si>
  <si>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</si>
  <si>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</si>
  <si>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</si>
  <si>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</si>
  <si>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</si>
  <si>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</si>
  <si>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</si>
  <si>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</si>
  <si>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</si>
  <si>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</si>
  <si>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</si>
  <si>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</si>
  <si>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</si>
  <si>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</si>
  <si>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</si>
  <si>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</si>
  <si>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</si>
  <si>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</si>
  <si>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</si>
  <si>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</si>
  <si>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</si>
  <si>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</si>
  <si>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</si>
  <si>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</si>
  <si>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</si>
  <si>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</si>
  <si>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</si>
  <si>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</si>
  <si>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</si>
  <si>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</si>
  <si>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</si>
  <si>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</si>
  <si>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</si>
  <si>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</si>
  <si>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</si>
  <si>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</si>
  <si>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</si>
  <si>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</si>
  <si>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</si>
  <si>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</si>
  <si>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</si>
  <si>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</si>
  <si>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</si>
  <si>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</si>
  <si>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</si>
  <si>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</si>
  <si>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</si>
  <si>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</si>
  <si>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</si>
  <si>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</si>
  <si>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</si>
  <si>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</si>
  <si>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</si>
  <si>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</si>
  <si>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</si>
  <si>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</si>
  <si>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</si>
  <si>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</si>
  <si>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</si>
  <si>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</si>
  <si>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</si>
  <si>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</si>
  <si>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</si>
  <si>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</si>
  <si>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</si>
  <si>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</si>
  <si>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</si>
  <si>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</si>
  <si>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</si>
  <si>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</si>
  <si>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</si>
  <si>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</si>
  <si>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</si>
  <si>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</si>
  <si>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</si>
  <si>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</si>
  <si>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</si>
  <si>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</si>
  <si>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</si>
  <si>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</si>
  <si>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</si>
  <si>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</si>
  <si>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</si>
  <si>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</si>
  <si>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</si>
  <si>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</si>
  <si>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</si>
  <si>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</si>
  <si>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</si>
  <si>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</si>
  <si>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</si>
  <si>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</si>
  <si>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</si>
  <si>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</si>
  <si>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</si>
  <si>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</si>
  <si>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</si>
  <si>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</si>
  <si>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</si>
  <si>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</si>
  <si>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</si>
  <si>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</si>
  <si>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</si>
  <si>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</si>
  <si>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</si>
  <si>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</si>
  <si>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</si>
  <si>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</si>
  <si>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</si>
  <si>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</si>
  <si>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</si>
  <si>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</si>
  <si>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</si>
  <si>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</si>
  <si>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</si>
  <si>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</si>
  <si>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</si>
  <si>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</si>
  <si>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</si>
  <si>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</si>
  <si>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</si>
  <si>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</si>
  <si>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</si>
  <si>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</si>
  <si>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</si>
  <si>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</si>
  <si>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</si>
  <si>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</si>
  <si>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</si>
  <si>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</si>
  <si>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</si>
  <si>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</si>
  <si>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</si>
  <si>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</si>
  <si>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</si>
  <si>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</si>
  <si>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</si>
  <si>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</si>
  <si>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</si>
  <si>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</si>
  <si>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</si>
  <si>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</si>
  <si>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</si>
  <si>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</si>
  <si>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</si>
  <si>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</si>
  <si>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</si>
  <si>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</si>
  <si>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</si>
  <si>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</si>
  <si>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</si>
  <si>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</si>
  <si>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</si>
  <si>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</si>
  <si>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</si>
  <si>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</si>
  <si>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</si>
  <si>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</si>
  <si>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</si>
  <si>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</si>
  <si>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</si>
  <si>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</si>
  <si>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</si>
  <si>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</si>
  <si>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</si>
  <si>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</si>
  <si>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</si>
  <si>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</si>
  <si>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</si>
  <si>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</si>
  <si>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</si>
  <si>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</si>
  <si>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</si>
  <si>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</si>
  <si>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</si>
  <si>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</si>
  <si>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</si>
  <si>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</si>
  <si>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</si>
  <si>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</si>
  <si>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</si>
  <si>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</si>
  <si>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</si>
  <si>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</si>
  <si>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</si>
  <si>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</si>
  <si>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</si>
  <si>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</si>
  <si>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</si>
  <si>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</si>
  <si>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</si>
  <si>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</si>
  <si>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</si>
  <si>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</si>
  <si>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</si>
  <si>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</si>
  <si>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</si>
  <si>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</si>
  <si>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</si>
  <si>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</si>
  <si>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</si>
  <si>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</si>
  <si>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</si>
  <si>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</si>
  <si>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</si>
  <si>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</si>
  <si>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</si>
  <si>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</si>
  <si>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</si>
  <si>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</si>
  <si>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</si>
  <si>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</si>
  <si>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</si>
  <si>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</si>
  <si>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</si>
  <si>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</si>
  <si>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</si>
  <si>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</si>
  <si>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</si>
  <si>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</si>
  <si>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</si>
  <si>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</si>
  <si>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</si>
  <si>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</si>
  <si>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</si>
  <si>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</si>
  <si>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</si>
  <si>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</si>
  <si>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</si>
  <si>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</si>
  <si>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</si>
  <si>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</si>
  <si>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</si>
  <si>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</si>
  <si>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</si>
  <si>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</si>
  <si>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</si>
  <si>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</si>
  <si>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</si>
  <si>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</si>
  <si>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</si>
  <si>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</si>
  <si>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</si>
  <si>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</si>
  <si>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</si>
  <si>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</si>
  <si>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</si>
  <si>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</si>
  <si>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</si>
  <si>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</si>
  <si>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</si>
  <si>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</si>
  <si>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</si>
  <si>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</si>
  <si>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</si>
  <si>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</si>
  <si>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</si>
  <si>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</si>
  <si>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</si>
  <si>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</si>
  <si>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</si>
  <si>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</si>
  <si>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</si>
  <si>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</si>
  <si>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</si>
  <si>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</si>
  <si>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</si>
  <si>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</si>
  <si>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</si>
  <si>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</si>
  <si>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</si>
  <si>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</si>
  <si>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</si>
  <si>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</si>
  <si>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</si>
  <si>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</si>
  <si>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</si>
  <si>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</si>
  <si>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</si>
  <si>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</si>
  <si>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</si>
  <si>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</si>
  <si>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</si>
  <si>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</si>
  <si>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</si>
  <si>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</si>
  <si>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</si>
  <si>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</si>
  <si>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</si>
  <si>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</si>
  <si>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</si>
  <si>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</si>
  <si>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</si>
  <si>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</si>
  <si>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</si>
  <si>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</si>
  <si>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</si>
  <si>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</si>
  <si>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</si>
  <si>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</si>
  <si>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</si>
  <si>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</si>
  <si>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</si>
  <si>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</si>
  <si>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</si>
  <si>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</si>
  <si>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</si>
  <si>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</si>
  <si>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</si>
  <si>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</si>
  <si>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</si>
  <si>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</si>
  <si>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</si>
  <si>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</si>
  <si>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</si>
  <si>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</si>
  <si>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</si>
  <si>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</si>
  <si>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</si>
  <si>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</si>
  <si>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</si>
  <si>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</si>
  <si>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</si>
  <si>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</si>
  <si>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</si>
  <si>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</si>
  <si>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</si>
  <si>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</si>
  <si>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</si>
  <si>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</si>
  <si>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</si>
  <si>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</si>
  <si>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</si>
  <si>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</si>
  <si>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</si>
  <si>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</si>
  <si>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</si>
  <si>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</si>
  <si>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</si>
  <si>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</si>
  <si>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</si>
  <si>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</si>
  <si>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</si>
  <si>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</si>
  <si>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</si>
  <si>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</si>
  <si>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</si>
  <si>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</si>
  <si>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</si>
  <si>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</si>
  <si>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</si>
  <si>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</si>
  <si>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</si>
  <si>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</si>
  <si>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</si>
  <si>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</si>
  <si>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</si>
  <si>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</si>
  <si>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</si>
  <si>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</si>
  <si>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</si>
  <si>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</si>
  <si>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</si>
  <si>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</si>
  <si>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</si>
  <si>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</si>
  <si>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</si>
  <si>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</si>
  <si>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</si>
  <si>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</si>
  <si>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</si>
  <si>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</si>
  <si>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</si>
  <si>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</si>
  <si>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</si>
  <si>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</si>
  <si>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</si>
  <si>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</si>
  <si>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</si>
  <si>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</si>
  <si>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</si>
  <si>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</si>
  <si>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</si>
  <si>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</si>
  <si>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</si>
  <si>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</si>
  <si>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</si>
  <si>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</si>
  <si>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</si>
  <si>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</si>
  <si>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</si>
  <si>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</si>
  <si>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</si>
  <si>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</si>
  <si>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</si>
  <si>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</si>
  <si>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</si>
  <si>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</si>
  <si>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</si>
  <si>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</si>
  <si>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</si>
  <si>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</si>
  <si>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</si>
  <si>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</si>
  <si>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</si>
  <si>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</si>
  <si>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</si>
  <si>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</si>
  <si>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</si>
  <si>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</si>
  <si>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</si>
  <si>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</si>
  <si>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</si>
  <si>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</si>
  <si>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</si>
  <si>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</si>
  <si>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</si>
  <si>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</si>
  <si>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</si>
  <si>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</si>
  <si>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</si>
  <si>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</si>
  <si>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</si>
  <si>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</si>
  <si>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</si>
  <si>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</si>
  <si>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</si>
  <si>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</si>
  <si>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</si>
  <si>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</si>
  <si>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</si>
  <si>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</si>
  <si>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</si>
  <si>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</si>
  <si>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</si>
  <si>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</si>
  <si>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</si>
  <si>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</si>
  <si>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</si>
  <si>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</si>
  <si>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</si>
  <si>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</si>
  <si>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</si>
  <si>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</si>
  <si>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</si>
  <si>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</si>
  <si>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</si>
  <si>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</si>
  <si>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</si>
  <si>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</si>
  <si>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</si>
  <si>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</si>
  <si>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</si>
  <si>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</si>
  <si>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</si>
  <si>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</si>
  <si>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</si>
  <si>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</si>
  <si>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</si>
  <si>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</si>
  <si>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</si>
  <si>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</si>
  <si>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</si>
  <si>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</si>
  <si>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</si>
  <si>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</si>
  <si>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</si>
  <si>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</si>
  <si>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</si>
  <si>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</si>
  <si>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</si>
  <si>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</si>
  <si>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</si>
  <si>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</si>
  <si>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</si>
  <si>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</si>
  <si>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</si>
  <si>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</si>
  <si>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</si>
  <si>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</si>
  <si>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</si>
  <si>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</si>
  <si>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</si>
  <si>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</si>
  <si>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</si>
  <si>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</si>
  <si>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</si>
  <si>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</si>
  <si>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</si>
  <si>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</si>
  <si>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</si>
  <si>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</si>
  <si>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</si>
  <si>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</si>
  <si>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</si>
  <si>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</si>
  <si>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</si>
  <si>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</si>
  <si>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</si>
  <si>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</si>
  <si>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</si>
  <si>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</si>
  <si>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</si>
  <si>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</si>
  <si>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</si>
  <si>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</si>
  <si>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</si>
  <si>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</si>
  <si>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</si>
  <si>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</si>
  <si>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</si>
  <si>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</si>
  <si>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</si>
  <si>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</si>
  <si>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</si>
  <si>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</si>
  <si>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</si>
  <si>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</si>
  <si>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</si>
  <si>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</si>
  <si>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</si>
  <si>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</si>
  <si>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</si>
  <si>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</si>
  <si>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</si>
  <si>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</si>
  <si>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</si>
  <si>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</si>
  <si>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</si>
  <si>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</si>
  <si>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</si>
  <si>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</si>
  <si>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</si>
  <si>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</si>
  <si>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</si>
  <si>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</si>
  <si>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</si>
  <si>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</si>
  <si>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</si>
  <si>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</si>
  <si>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</si>
  <si>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</si>
  <si>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</si>
  <si>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</si>
  <si>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</si>
  <si>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</si>
  <si>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</si>
  <si>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</si>
  <si>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</si>
  <si>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</si>
  <si>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</si>
  <si>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</si>
  <si>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</si>
  <si>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</si>
  <si>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</si>
  <si>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</si>
  <si>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</si>
  <si>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</si>
  <si>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</si>
  <si>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</si>
  <si>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</si>
  <si>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</si>
  <si>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</si>
  <si>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</si>
  <si>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</si>
  <si>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</si>
  <si>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</si>
  <si>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</si>
  <si>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</si>
  <si>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</si>
  <si>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</si>
  <si>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</si>
  <si>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</si>
  <si>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</si>
  <si>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</si>
  <si>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</si>
  <si>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</si>
  <si>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</si>
  <si>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</si>
  <si>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</si>
  <si>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</si>
  <si>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</si>
  <si>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</si>
  <si>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</si>
  <si>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</si>
  <si>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</si>
  <si>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</si>
  <si>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</si>
  <si>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</si>
  <si>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</si>
  <si>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</si>
  <si>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</si>
  <si>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</si>
  <si>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</si>
  <si>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</si>
  <si>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</si>
  <si>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</si>
  <si>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</si>
  <si>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</si>
  <si>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</si>
  <si>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</si>
  <si>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</si>
  <si>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</si>
  <si>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</si>
  <si>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</si>
  <si>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</si>
  <si>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</si>
  <si>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</si>
  <si>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</si>
  <si>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</si>
  <si>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</si>
  <si>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</si>
  <si>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</si>
  <si>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</si>
  <si>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</si>
  <si>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</si>
  <si>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</si>
  <si>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</si>
  <si>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</si>
  <si>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</si>
  <si>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</si>
  <si>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</si>
  <si>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</si>
  <si>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</si>
  <si>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</si>
  <si>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</si>
  <si>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</si>
  <si>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</si>
  <si>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</si>
  <si>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</si>
  <si>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</si>
  <si>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</si>
  <si>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</si>
  <si>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</si>
  <si>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</si>
  <si>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</si>
  <si>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</si>
  <si>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</si>
  <si>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</si>
  <si>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</si>
  <si>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</si>
  <si>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</si>
  <si>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</si>
  <si>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</si>
  <si>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</si>
  <si>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</si>
  <si>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</si>
  <si>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</si>
  <si>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</si>
  <si>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</si>
  <si>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</si>
  <si>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</si>
  <si>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</si>
  <si>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</si>
  <si>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</si>
  <si>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</si>
  <si>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</si>
  <si>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</si>
  <si>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</si>
  <si>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</si>
  <si>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</si>
  <si>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</si>
  <si>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</si>
  <si>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</si>
  <si>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</si>
  <si>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</si>
  <si>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</si>
  <si>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</si>
  <si>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</si>
  <si>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</si>
  <si>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</si>
  <si>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</si>
  <si>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</si>
  <si>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</si>
  <si>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</si>
  <si>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</si>
  <si>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</si>
  <si>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</si>
  <si>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</si>
  <si>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</si>
  <si>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</si>
  <si>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</si>
  <si>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</si>
  <si>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</si>
  <si>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</si>
  <si>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</si>
  <si>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</si>
  <si>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</si>
  <si>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</si>
  <si>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</si>
  <si>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</si>
  <si>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</si>
  <si>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</si>
  <si>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</si>
  <si>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</si>
  <si>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</si>
  <si>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</si>
  <si>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</si>
  <si>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</si>
  <si>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</si>
  <si>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</si>
  <si>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</si>
  <si>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</si>
  <si>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</si>
  <si>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</si>
  <si>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</si>
  <si>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</si>
  <si>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</si>
  <si>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</si>
  <si>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</si>
  <si>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</si>
  <si>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</si>
  <si>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</si>
  <si>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</si>
  <si>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</si>
  <si>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</si>
  <si>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</si>
  <si>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</si>
  <si>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</si>
  <si>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</si>
  <si>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</si>
  <si>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</si>
  <si>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</si>
  <si>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</si>
  <si>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</si>
  <si>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</si>
  <si>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</si>
  <si>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</si>
  <si>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</si>
  <si>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</si>
  <si>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</si>
  <si>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</si>
  <si>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</si>
  <si>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</si>
  <si>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</si>
  <si>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</si>
  <si>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</si>
  <si>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</si>
  <si>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</si>
  <si>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</si>
  <si>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</si>
  <si>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</si>
  <si>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</si>
  <si>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</si>
  <si>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</si>
  <si>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</si>
  <si>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</si>
  <si>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</si>
  <si>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</si>
  <si>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</si>
  <si>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</si>
  <si>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</si>
  <si>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</si>
  <si>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</si>
  <si>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</si>
  <si>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</si>
  <si>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</si>
  <si>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</si>
  <si>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</si>
  <si>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</si>
  <si>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</si>
  <si>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</si>
  <si>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</si>
  <si>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</si>
  <si>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</si>
  <si>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</si>
  <si>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</si>
  <si>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</si>
  <si>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</si>
  <si>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</si>
  <si>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</si>
  <si>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</si>
  <si>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</si>
  <si>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</si>
  <si>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</si>
  <si>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</si>
  <si>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</si>
  <si>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</si>
  <si>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</si>
  <si>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</si>
  <si>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</si>
  <si>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</si>
  <si>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</si>
  <si>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</si>
  <si>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</si>
  <si>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</si>
  <si>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</si>
  <si>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</si>
  <si>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</si>
  <si>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</si>
  <si>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</si>
  <si>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</si>
  <si>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</si>
  <si>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</si>
  <si>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</si>
  <si>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</si>
  <si>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</si>
  <si>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</si>
  <si>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</si>
  <si>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</si>
  <si>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</si>
  <si>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</si>
  <si>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</si>
  <si>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</si>
  <si>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</si>
  <si>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</si>
  <si>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</si>
  <si>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</si>
  <si>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</si>
  <si>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</si>
  <si>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</si>
  <si>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</si>
  <si>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</si>
  <si>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</si>
  <si>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</si>
  <si>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</si>
  <si>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</si>
  <si>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</si>
  <si>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</si>
  <si>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</si>
  <si>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</si>
  <si>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</si>
  <si>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</si>
  <si>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</si>
  <si>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</si>
  <si>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</si>
  <si>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</si>
  <si>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</si>
  <si>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</si>
  <si>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</si>
  <si>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</si>
  <si>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</si>
  <si>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</si>
  <si>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</si>
  <si>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</si>
  <si>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</si>
  <si>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</si>
  <si>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</si>
  <si>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</si>
  <si>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</si>
  <si>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</si>
  <si>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</si>
  <si>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</si>
  <si>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</si>
  <si>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</si>
  <si>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</si>
  <si>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</si>
  <si>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</si>
  <si>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</si>
  <si>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</si>
  <si>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</si>
  <si>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</si>
  <si>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</si>
  <si>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</si>
  <si>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</si>
  <si>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</si>
  <si>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</si>
  <si>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</si>
  <si>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</si>
  <si>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</si>
  <si>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</si>
  <si>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</si>
  <si>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</si>
  <si>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</si>
  <si>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</si>
  <si>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</si>
  <si>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</si>
  <si>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</si>
  <si>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</si>
  <si>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</si>
  <si>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</si>
  <si>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</si>
  <si>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</si>
  <si>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</si>
  <si>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</si>
  <si>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</si>
  <si>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</si>
  <si>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</si>
  <si>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</si>
  <si>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</si>
  <si>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</si>
  <si>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</si>
  <si>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</si>
  <si>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</si>
  <si>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</si>
  <si>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</si>
  <si>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</si>
  <si>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</si>
  <si>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</si>
  <si>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</si>
  <si>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</si>
  <si>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</si>
  <si>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</si>
  <si>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</si>
  <si>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</si>
  <si>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</si>
  <si>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</si>
  <si>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</si>
  <si>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</si>
  <si>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</si>
  <si>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</si>
  <si>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</si>
  <si>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</si>
  <si>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</si>
  <si>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</si>
  <si>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</si>
  <si>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</si>
  <si>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</si>
  <si>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</si>
  <si>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</si>
  <si>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</si>
  <si>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</si>
  <si>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</si>
  <si>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</si>
  <si>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</si>
  <si>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</si>
  <si>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</si>
  <si>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</si>
  <si>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</si>
  <si>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</si>
  <si>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</si>
  <si>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</si>
  <si>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</si>
  <si>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</si>
  <si>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</si>
  <si>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</si>
  <si>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</si>
  <si>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</si>
  <si>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</si>
  <si>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</si>
  <si>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</si>
  <si>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</si>
  <si>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</si>
  <si>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</si>
  <si>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</si>
  <si>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</si>
  <si>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</si>
  <si>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</si>
  <si>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</si>
  <si>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</si>
  <si>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</si>
  <si>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</si>
  <si>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</si>
  <si>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</si>
  <si>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</si>
  <si>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</si>
  <si>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</si>
  <si>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</si>
  <si>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</si>
  <si>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</si>
  <si>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</si>
  <si>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</si>
  <si>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</si>
  <si>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</si>
  <si>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</si>
  <si>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</si>
  <si>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</si>
  <si>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</si>
  <si>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</si>
  <si>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</si>
  <si>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</si>
  <si>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</si>
  <si>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</si>
  <si>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</si>
  <si>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</si>
  <si>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</si>
  <si>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</si>
  <si>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</si>
  <si>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</si>
  <si>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</si>
  <si>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</si>
  <si>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</si>
  <si>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</si>
  <si>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</si>
  <si>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</si>
  <si>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</si>
  <si>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</si>
  <si>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</si>
  <si>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</si>
  <si>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</si>
  <si>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</si>
  <si>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</si>
  <si>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</si>
  <si>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</si>
  <si>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</si>
  <si>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</si>
  <si>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</si>
  <si>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</si>
  <si>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</si>
  <si>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</si>
  <si>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</si>
  <si>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</si>
  <si>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</si>
  <si>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</si>
  <si>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</si>
  <si>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</si>
  <si>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</si>
  <si>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</si>
  <si>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</si>
  <si>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</si>
  <si>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</si>
  <si>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</si>
  <si>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</si>
  <si>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</si>
  <si>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</si>
  <si>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</si>
  <si>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</si>
  <si>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</si>
  <si>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</si>
  <si>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</si>
  <si>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</si>
  <si>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</si>
  <si>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</si>
  <si>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</si>
  <si>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</si>
  <si>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</si>
  <si>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</si>
  <si>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</si>
  <si>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</si>
  <si>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</si>
  <si>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</si>
  <si>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</si>
  <si>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</si>
  <si>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</si>
  <si>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</si>
  <si>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</si>
  <si>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</si>
  <si>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</si>
  <si>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</si>
  <si>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</si>
  <si>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</si>
  <si>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</si>
  <si>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</si>
  <si>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</si>
  <si>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</si>
  <si>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</si>
  <si>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</si>
  <si>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</si>
  <si>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</si>
  <si>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</si>
  <si>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</si>
  <si>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</si>
  <si>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</si>
  <si>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</si>
  <si>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</si>
  <si>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</si>
  <si>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</si>
  <si>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</si>
  <si>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</si>
  <si>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</si>
  <si>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</si>
  <si>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</si>
  <si>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</si>
  <si>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</si>
  <si>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</si>
  <si>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</si>
  <si>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</si>
  <si>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</si>
  <si>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</si>
  <si>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</si>
  <si>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</si>
  <si>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</si>
  <si>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</si>
  <si>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</si>
  <si>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</si>
  <si>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</si>
  <si>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</si>
  <si>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</si>
  <si>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</si>
  <si>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</si>
  <si>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</si>
  <si>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</si>
  <si>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</si>
  <si>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</si>
  <si>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</si>
  <si>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</si>
  <si>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</si>
  <si>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</si>
  <si>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</si>
  <si>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</si>
  <si>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</si>
  <si>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</si>
  <si>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</si>
  <si>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</si>
  <si>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</si>
  <si>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</si>
  <si>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</si>
  <si>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</si>
  <si>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</si>
  <si>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</si>
  <si>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</si>
  <si>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</si>
  <si>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</si>
  <si>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</si>
  <si>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</si>
  <si>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</si>
  <si>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</si>
  <si>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</si>
  <si>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</si>
  <si>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</si>
  <si>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</si>
  <si>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</si>
  <si>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</si>
  <si>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</si>
  <si>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</si>
  <si>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</si>
  <si>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</si>
  <si>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</si>
  <si>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</si>
  <si>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</si>
  <si>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</si>
  <si>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</si>
  <si>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</si>
  <si>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</si>
  <si>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</si>
  <si>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</si>
  <si>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</si>
  <si>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</si>
  <si>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</si>
  <si>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</si>
  <si>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</si>
  <si>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</si>
  <si>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</si>
  <si>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</si>
  <si>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</si>
  <si>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</si>
  <si>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</si>
  <si>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</si>
  <si>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</si>
  <si>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</si>
  <si>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</si>
  <si>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</si>
  <si>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</si>
  <si>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</si>
  <si>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</si>
  <si>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</si>
  <si>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</si>
  <si>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</si>
  <si>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</si>
  <si>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</si>
  <si>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</si>
  <si>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</si>
  <si>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</si>
  <si>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</si>
  <si>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</si>
  <si>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</si>
  <si>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</si>
  <si>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</si>
  <si>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</si>
  <si>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</si>
  <si>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</si>
  <si>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</si>
  <si>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</si>
  <si>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</si>
  <si>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</si>
  <si>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</si>
  <si>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</si>
  <si>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</si>
  <si>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</si>
  <si>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</si>
  <si>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</si>
  <si>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</si>
  <si>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</si>
  <si>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</si>
  <si>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</si>
  <si>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</si>
  <si>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</si>
  <si>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</si>
  <si>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</si>
  <si>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</si>
  <si>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</si>
  <si>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</si>
  <si>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</si>
  <si>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</si>
  <si>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</si>
  <si>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</si>
  <si>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</si>
  <si>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</si>
  <si>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</si>
  <si>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</si>
  <si>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</si>
  <si>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</si>
  <si>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</si>
  <si>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</si>
  <si>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</si>
  <si>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</si>
  <si>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</si>
  <si>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</si>
  <si>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</si>
  <si>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</si>
  <si>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</si>
  <si>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</si>
  <si>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</si>
  <si>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</si>
  <si>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</si>
  <si>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</si>
  <si>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</si>
  <si>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</si>
  <si>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</si>
  <si>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</si>
  <si>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</si>
  <si>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</si>
  <si>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</si>
  <si>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</si>
  <si>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</si>
  <si>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</si>
  <si>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</si>
  <si>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</si>
  <si>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</si>
  <si>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</si>
  <si>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</si>
  <si>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</si>
  <si>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</si>
  <si>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</si>
  <si>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</si>
  <si>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</si>
  <si>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</si>
  <si>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</si>
  <si>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</si>
  <si>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</si>
  <si>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</si>
  <si>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</si>
  <si>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</si>
  <si>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</si>
  <si>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</si>
  <si>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</si>
  <si>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</si>
  <si>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</si>
  <si>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</si>
  <si>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</si>
  <si>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</si>
  <si>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</si>
  <si>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</si>
  <si>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</si>
  <si>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</si>
  <si>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</si>
  <si>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</si>
  <si>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</si>
  <si>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</si>
  <si>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</si>
  <si>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</si>
  <si>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</si>
  <si>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</si>
  <si>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</si>
  <si>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</si>
  <si>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</si>
  <si>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</si>
  <si>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</si>
  <si>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</si>
  <si>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</si>
  <si>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</si>
  <si>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</si>
  <si>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</si>
  <si>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</si>
  <si>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</si>
  <si>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</si>
  <si>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</si>
  <si>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</si>
  <si>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</si>
  <si>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</si>
  <si>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</si>
  <si>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</si>
  <si>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</si>
  <si>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</si>
  <si>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</si>
  <si>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</si>
  <si>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</si>
  <si>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</si>
  <si>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</si>
  <si>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</si>
  <si>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</si>
  <si>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</si>
  <si>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</si>
  <si>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</si>
  <si>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</si>
  <si>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</si>
  <si>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</si>
  <si>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</si>
  <si>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</si>
  <si>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</si>
  <si>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</si>
  <si>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</si>
  <si>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</si>
  <si>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</si>
  <si>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</si>
  <si>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</si>
  <si>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</si>
  <si>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</si>
  <si>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</si>
  <si>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</si>
  <si>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</si>
  <si>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</si>
  <si>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</si>
  <si>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</si>
  <si>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</si>
  <si>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</si>
  <si>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</si>
  <si>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</si>
  <si>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</si>
  <si>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</si>
  <si>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</si>
  <si>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</si>
  <si>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</si>
  <si>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</si>
  <si>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</si>
  <si>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</si>
  <si>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</si>
  <si>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</si>
  <si>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</si>
  <si>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</si>
  <si>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</si>
  <si>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</si>
  <si>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</si>
  <si>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</si>
  <si>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</si>
  <si>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</si>
  <si>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</si>
  <si>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</si>
  <si>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</si>
  <si>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</si>
  <si>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</si>
  <si>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</si>
  <si>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</si>
  <si>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</si>
  <si>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</si>
  <si>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</si>
  <si>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</si>
  <si>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</si>
  <si>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</si>
  <si>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</si>
  <si>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</si>
  <si>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</si>
  <si>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</si>
  <si>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</si>
  <si>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</si>
  <si>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</si>
  <si>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</si>
  <si>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</si>
  <si>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</si>
  <si>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</si>
  <si>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</si>
  <si>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</si>
  <si>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</si>
  <si>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</si>
  <si>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</si>
  <si>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</si>
  <si>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</si>
  <si>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</si>
  <si>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</si>
  <si>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</si>
  <si>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</si>
  <si>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</si>
  <si>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</si>
  <si>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</si>
  <si>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</si>
  <si>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</si>
  <si>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</si>
  <si>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</si>
  <si>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</si>
  <si>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</si>
  <si>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</si>
  <si>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</si>
  <si>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</si>
  <si>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</si>
  <si>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</si>
  <si>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</si>
  <si>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</si>
  <si>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</si>
  <si>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</si>
  <si>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</si>
  <si>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</si>
  <si>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</si>
  <si>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</si>
  <si>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</si>
  <si>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</si>
  <si>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</si>
  <si>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</si>
  <si>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</si>
  <si>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</si>
  <si>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</si>
  <si>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</si>
  <si>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</si>
  <si>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</si>
  <si>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</si>
  <si>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</si>
  <si>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</si>
  <si>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</si>
  <si>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</si>
  <si>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</si>
  <si>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</si>
  <si>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</si>
  <si>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</si>
  <si>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</si>
  <si>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</si>
  <si>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</si>
  <si>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</si>
  <si>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</si>
  <si>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</si>
  <si>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</si>
  <si>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</si>
  <si>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</si>
  <si>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</si>
  <si>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</si>
  <si>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</si>
  <si>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</si>
  <si>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Sherman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</si>
</sst>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B3" sqref="B3:G3"/>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83</v>
      </c>
      <c r="D11" s="8" t="s">
        <v>1418</v>
      </c>
      <c r="E11" s="7"/>
      <c r="F11" s="7"/>
      <c r="G11" s="19"/>
      <c r="H11" s="166" t="s">
        <v>3085</v>
      </c>
      <c r="I11" s="20"/>
      <c r="J11" s="20"/>
      <c r="K11" s="167">
        <f>S204</f>
        <v>67500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253</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9460</v>
      </c>
      <c r="F15" s="263">
        <f t="shared" si="1"/>
        <v>10800</v>
      </c>
      <c r="G15" s="263">
        <f t="shared" si="1"/>
        <v>12160</v>
      </c>
      <c r="H15" s="263">
        <f t="shared" si="1"/>
        <v>13500</v>
      </c>
      <c r="I15" s="263">
        <f t="shared" si="1"/>
        <v>14580</v>
      </c>
      <c r="J15" s="263">
        <f t="shared" si="1"/>
        <v>15660</v>
      </c>
      <c r="K15" s="263">
        <f t="shared" si="1"/>
        <v>16740</v>
      </c>
      <c r="L15" s="279">
        <f t="shared" si="1"/>
        <v>17820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14190</v>
      </c>
      <c r="F16" s="263">
        <f t="shared" si="2"/>
        <v>16200</v>
      </c>
      <c r="G16" s="263">
        <f t="shared" si="2"/>
        <v>18240</v>
      </c>
      <c r="H16" s="263">
        <f t="shared" si="2"/>
        <v>20250</v>
      </c>
      <c r="I16" s="263">
        <f t="shared" si="2"/>
        <v>21870</v>
      </c>
      <c r="J16" s="263">
        <f t="shared" si="2"/>
        <v>23490</v>
      </c>
      <c r="K16" s="263">
        <f t="shared" si="2"/>
        <v>25110</v>
      </c>
      <c r="L16" s="279">
        <f t="shared" si="2"/>
        <v>26730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18920</v>
      </c>
      <c r="F17" s="263">
        <f t="shared" si="2"/>
        <v>21600</v>
      </c>
      <c r="G17" s="263">
        <f t="shared" si="2"/>
        <v>24320</v>
      </c>
      <c r="H17" s="263">
        <f t="shared" si="2"/>
        <v>27000</v>
      </c>
      <c r="I17" s="263">
        <f t="shared" si="2"/>
        <v>29160</v>
      </c>
      <c r="J17" s="263">
        <f t="shared" si="2"/>
        <v>31320</v>
      </c>
      <c r="K17" s="263">
        <f t="shared" si="2"/>
        <v>33480</v>
      </c>
      <c r="L17" s="279">
        <f t="shared" si="2"/>
        <v>35640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23650</v>
      </c>
      <c r="F18" s="263">
        <f t="shared" si="3"/>
        <v>27000</v>
      </c>
      <c r="G18" s="263">
        <f t="shared" si="3"/>
        <v>30400</v>
      </c>
      <c r="H18" s="263">
        <f t="shared" si="3"/>
        <v>33750</v>
      </c>
      <c r="I18" s="263">
        <f t="shared" si="3"/>
        <v>36450</v>
      </c>
      <c r="J18" s="263">
        <f t="shared" si="3"/>
        <v>39150</v>
      </c>
      <c r="K18" s="263">
        <f t="shared" si="3"/>
        <v>41850</v>
      </c>
      <c r="L18" s="279">
        <f t="shared" si="3"/>
        <v>44550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28380</v>
      </c>
      <c r="F19" s="263">
        <f t="shared" si="3"/>
        <v>32400</v>
      </c>
      <c r="G19" s="263">
        <f t="shared" si="3"/>
        <v>36480</v>
      </c>
      <c r="H19" s="263">
        <f t="shared" si="3"/>
        <v>40500</v>
      </c>
      <c r="I19" s="263">
        <f t="shared" si="3"/>
        <v>43740</v>
      </c>
      <c r="J19" s="263">
        <f t="shared" si="3"/>
        <v>46980</v>
      </c>
      <c r="K19" s="263">
        <f t="shared" si="3"/>
        <v>50220</v>
      </c>
      <c r="L19" s="279">
        <f t="shared" si="3"/>
        <v>53460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33110</v>
      </c>
      <c r="F20" s="263">
        <f t="shared" si="4"/>
        <v>37800</v>
      </c>
      <c r="G20" s="263">
        <f t="shared" si="4"/>
        <v>42560</v>
      </c>
      <c r="H20" s="263">
        <f t="shared" si="4"/>
        <v>47250</v>
      </c>
      <c r="I20" s="263">
        <f t="shared" si="4"/>
        <v>51030</v>
      </c>
      <c r="J20" s="263">
        <f t="shared" si="4"/>
        <v>54810</v>
      </c>
      <c r="K20" s="263">
        <f t="shared" si="4"/>
        <v>58590</v>
      </c>
      <c r="L20" s="279">
        <f t="shared" si="4"/>
        <v>62370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37840</v>
      </c>
      <c r="F21" s="263">
        <f t="shared" si="5"/>
        <v>43200</v>
      </c>
      <c r="G21" s="263">
        <f t="shared" si="5"/>
        <v>48640</v>
      </c>
      <c r="H21" s="263">
        <f t="shared" si="5"/>
        <v>54000</v>
      </c>
      <c r="I21" s="263">
        <f t="shared" si="5"/>
        <v>58320</v>
      </c>
      <c r="J21" s="263">
        <f t="shared" si="5"/>
        <v>62640</v>
      </c>
      <c r="K21" s="263">
        <f t="shared" si="5"/>
        <v>66960</v>
      </c>
      <c r="L21" s="279">
        <f t="shared" si="5"/>
        <v>71280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236</v>
      </c>
      <c r="F26" s="282">
        <f>IF(OR($B$16=0,$B$16=$AS$12,$B$16=$AS$13,$B$16=$AS$14,$B$16=$AS$15,$B$16=$AS$16),"",ROUNDDOWN(AVERAGE(E54,F54)/12*0.3,0))</f>
        <v>253</v>
      </c>
      <c r="G26" s="282">
        <f>IF(OR($B$16=0,$B$16=$AS$12,$B$16=$AS$13,$B$16=$AS$14,$B$16=$AS$15,$B$16=$AS$16),"",ROUNDDOWN(0.3*G54/12,0))</f>
        <v>304</v>
      </c>
      <c r="H26" s="282">
        <f>IF(OR($B$16=0,$B$16=$AS$12,$B$16=$AS$13,$B$16=$AS$14,$B$16=$AS$15,$B$16=$AS$16),"",ROUNDDOWN(AVERAGE(I54,H54)/12*0.3,0))</f>
        <v>351</v>
      </c>
      <c r="I26" s="282">
        <f>IF(OR($B$16=0,$B$16=$AS$12,$B$16=$AS$13,$B$16=$AS$14,$B$16=$AS$15,$B$16=$AS$16),"",ROUNDDOWN(0.3*I54/12,0))</f>
        <v>364</v>
      </c>
      <c r="J26" s="283">
        <f>IF(OR($B$16=0,$B$16=$AS$12,$B$16=$AS$13,$B$16=$AS$14,$B$16=$AS$15,$B$16=$AS$16),"",ROUNDDOWN(AVERAGE(K54,L54)/12*0.3,0))</f>
        <v>432</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354</v>
      </c>
      <c r="F27" s="273">
        <f>IF(OR($B$11=0,$B$18=0,$A$24=0,),"",IF(OR($B$16=$AS$14,$B$16=$AS$13),IF($B$29=$AP$10,$F217,IF($B$29=$AP$11,$F224,"")),IF($B$16=$AS$16,F254,ROUNDDOWN(AVERAGE(E55,F55)/12*0.3,0))))</f>
        <v>379</v>
      </c>
      <c r="G27" s="273">
        <f>IF(OR($B$11=0,$B$18=0,$A$24=0,),"",IF(OR($B$16=$AS$14,$B$16=$AS$13),IF($B$29=$AP$10,$G217,IF($B$29=$AP$11,$G224,"")),IF($B$16=$AS$16,G254,ROUNDDOWN(0.3*G55/12,0))))</f>
        <v>456</v>
      </c>
      <c r="H27" s="273">
        <f>IF(OR($B$11=0,$B$18=0,$A$24=0,),"",IF(OR($B$16=$AS$14,$B$16=$AS$13),IF($B$29=$AP$10,$H217,IF($B$29=$AP$11,$H224,"")),IF($B$16=$AS$16,H254,ROUNDDOWN(AVERAGE(I55,H55)/12*0.3,0))))</f>
        <v>526</v>
      </c>
      <c r="I27" s="273">
        <f>IF(OR($B$11=0,$B$18=0,$A$24=0,),"",IF(OR($B$16=$AS$14,$B$16=$AS$13),IF($B$29=$AP$10,$I217,IF($B$29=$AP$11,$I224,"")),IF($B$16=$AS$16,I254,ROUNDDOWN(0.3*J55/12,0))))</f>
        <v>587</v>
      </c>
      <c r="J27" s="275">
        <f>IF(OR($B$11=0,$B$18=0,$A$24=0,),"",IF(OR($B$16=$AS$14,$B$16=$AS$13),IF($B$29=$AP$10,$J217,IF($B$29=$AP$11,$J224,"")),IF($B$16=$AS$16,J254,ROUNDDOWN(AVERAGE(K55,L55)/12*0.3,0))))</f>
        <v>648</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473</v>
      </c>
      <c r="F28" s="273">
        <f>IF(OR($B$11=0,$B$18=0,$A$24=0,),"",IF(OR($B$16=$AS$14,$B$16=$AS$13),IF($B$29=$AP$10,$F218,IF($B$29=$AP$11,$F$225,"")),IF($B$16=$AS$16,F255,ROUNDDOWN(AVERAGE(E56,F56)/12*0.3,0))))</f>
        <v>506</v>
      </c>
      <c r="G28" s="273">
        <f>IF(OR($B$11=0,$B$18=0,$A$24=0,),"",IF(OR($B$16=$AS$14,$B$16=$AS$13),IF($B$29=$AP$10,$G218,IF($B$29=$AP$11,$G$225,"")),IF($B$16=$AS$16,G255,ROUNDDOWN(0.3*G56/12,0))))</f>
        <v>608</v>
      </c>
      <c r="H28" s="273">
        <f>IF(OR($B$11=0,$B$18=0,$A$24=0,),"",IF(OR($B$16=$AS$14,$B$16=$AS$13),IF($B$29=$AP$10,$H218,IF($B$29=$AP$11,$H$225,"")),IF($B$16=$AS$16,H255,ROUNDDOWN(AVERAGE(I56,H56)/12*0.3,0))))</f>
        <v>702</v>
      </c>
      <c r="I28" s="273">
        <f>IF(OR($B$11=0,$B$18=0,$A$24=0,),"",IF(OR($B$16=$AS$14,$B$16=$AS$13),IF($B$29=$AP$10,$I218,IF($B$29=$AP$11,$I$225,"")),IF($B$16=$AS$16,I255,ROUNDDOWN(0.3*J56/12,0))))</f>
        <v>783</v>
      </c>
      <c r="J28" s="275">
        <f>IF(OR($B$11=0,$B$18=0,$A$24=0,),"",IF(OR($B$16=$AS$14,$B$16=$AS$13),IF($B$29=$AP$10,$J218,IF($B$29=$AP$11,$J$225,"")),IF($B$16=$AS$16,J255,ROUNDDOWN(AVERAGE(K56,L56)/12*0.3,0))))</f>
        <v>864</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591</v>
      </c>
      <c r="F29" s="273">
        <f>IF(OR($B$11=0,$B$18=0,$A$24=0,),"",IF(OR($B$16=$AS$14,$B$16=$AS$13),IF($B$29=$AP$10,$F219,IF($B$29=$AP$11,$F$226,"")),IF($B$16=$AS$16,"",ROUNDDOWN(AVERAGE(E57,F57)/12*0.3,0))))</f>
        <v>633</v>
      </c>
      <c r="G29" s="273">
        <f>IF(OR($B$11=0,$B$18=0,$A$24=0,),"",IF(OR($B$16=$AS$14,$B$16=$AS$13),IF($B$29=$AP$10,$G219,IF($B$29=$AP$11,$G$226,"")),IF($B$16=$AS$16,"",ROUNDDOWN(0.3*G57/12,0))))</f>
        <v>760</v>
      </c>
      <c r="H29" s="273">
        <f>IF(OR($B$11=0,$B$18=0,$A$24=0,),"",IF(OR($B$16=$AS$14,$B$16=$AS$13),IF($B$29=$AP$10,$H219,IF($B$29=$AP$11,$H$226,"")),IF($B$16=$AS$16,"",ROUNDDOWN(AVERAGE(I57,H57)/12*0.3,0))))</f>
        <v>877</v>
      </c>
      <c r="I29" s="273">
        <f>IF(OR($B$11=0,$B$18=0,$A$24=0,),"",IF(OR($B$16=$AS$14,$B$16=$AS$13),IF($B$29=$AP$10,$I219,IF($B$29=$AP$11,$I$226,"")),IF($B$16=$AS$16,"",ROUNDDOWN(0.3*J57/12,0))))</f>
        <v>978</v>
      </c>
      <c r="J29" s="275">
        <f>IF(OR($B$11=0,$B$18=0,$A$24=0,),"",IF(OR($B$16=$AS$14,$B$16=$AS$13),IF($B$29=$AP$10,$J219,IF($B$29=$AP$11,$J$226,"")),IF($B$16=$AS$16,"",ROUNDDOWN(AVERAGE(K57,L57)/12*0.3,0))))</f>
        <v>1080</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709</v>
      </c>
      <c r="F30" s="273">
        <f>IF(OR($B$11=0,$B$18=0,$A$24=0,),"",IF(OR($B$16=$AS$14,$B$16=$AS$13),IF($B$29=$AP$10,$F220,IF($B$29=$AP$11,$F$227,"")),IF($B$16=$AS$16,"",ROUNDDOWN(AVERAGE(E58,F58)/12*0.3,0))))</f>
        <v>759</v>
      </c>
      <c r="G30" s="273">
        <f>IF(OR($B$11=0,$B$18=0,$A$24=0,),"",IF(OR($B$16=$AS$14,$B$16=$AS$13),IF($B$29=$AP$10,$G220,IF($B$29=$AP$11,$G$227,"")),IF($B$16=$AS$16,"",ROUNDDOWN(0.3*G58/12,0))))</f>
        <v>912</v>
      </c>
      <c r="H30" s="273">
        <f>IF(OR($B$11=0,$B$18=0,$A$24=0,),"",IF(OR($B$16=$AS$14,$B$16=$AS$13),IF($B$29=$AP$10,$H220,IF($B$29=$AP$11,$H$227,"")),IF($B$16=$AS$16,"",ROUNDDOWN(AVERAGE(I58,H58)/12*0.3,0))))</f>
        <v>1053</v>
      </c>
      <c r="I30" s="273">
        <f>IF(OR($B$11=0,$B$18=0,$A$24=0,),"",IF(OR($B$16=$AS$14,$B$16=$AS$13),IF($B$29=$AP$10,$I220,IF($B$29=$AP$11,$I$227,"")),IF($B$16=$AS$16,"",ROUNDDOWN(0.3*J58/12,0))))</f>
        <v>1174</v>
      </c>
      <c r="J30" s="275">
        <f>IF(OR($B$11=0,$B$18=0,$A$24=0,),"",IF(OR($B$16=$AS$14,$B$16=$AS$13),IF($B$29=$AP$10,$J220,IF($B$29=$AP$11,$J$227,"")),IF($B$16=$AS$16,"",ROUNDDOWN(AVERAGE(K58,L58)/12*0.3,0))))</f>
        <v>1296</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827</v>
      </c>
      <c r="F32" s="273">
        <f>IF(OR($B$16=0,$B$16=$AS$12,$B$16=$AS$13,$B$16=$AS$14,$B$16=$AS$15,$B$16=$AS$16),"",ROUNDDOWN(AVERAGE(E59,F59)/12*0.3,0))</f>
        <v>886</v>
      </c>
      <c r="G32" s="273">
        <f>IF(OR($B$16=0,$B$16=$AS$12,$B$16=$AS$13,$B$16=$AS$14,$B$16=$AS$15,$B$16=$AS$16),"",ROUNDDOWN(0.3*G59/12,0))</f>
        <v>1064</v>
      </c>
      <c r="H32" s="273">
        <f>IF(OR($B$16=0,$B$16=$AS$12,$B$16=$AS$13,$B$16=$AS$14,$B$16=$AS$15,$B$16=$AS$16),"",ROUNDDOWN(AVERAGE(I59,H59)/12*0.3,0))</f>
        <v>1228</v>
      </c>
      <c r="I32" s="273">
        <f>IF(OR($B$16=0,$B$16=$AS$12,$B$16=$AS$13,$B$16=$AS$14,$B$16=$AS$15,$B$16=$AS$16),"",ROUNDDOWN(0.3*I59/12,0))</f>
        <v>1275</v>
      </c>
      <c r="J32" s="275">
        <f>IF(OR($B$16=0,$B$16=$AS$12,$B$16=$AS$13,$B$16=$AS$14,$B$16=$AS$15,$B$16=$AS$16),"",ROUNDDOWN(AVERAGE(K59,L59)/12*0.3,0))</f>
        <v>1512</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946</v>
      </c>
      <c r="F33" s="77">
        <f>IF(OR($B$11=0,$B$18=0,$A$24=0,$B$16=$AS$16),"",IF(OR($B$16=$A$13,$B$16=$AS$13),$F221,ROUNDDOWN(AVERAGE(E60,F60)/12*0.3,0)))</f>
        <v>1013</v>
      </c>
      <c r="G33" s="77">
        <f>IF(OR($B$11=0,$B$18=0,$A$24=0,$B$16=$AS$16),"",IF(OR($B$16=$A$13,$B$16=$AS$13),$G221,ROUNDDOWN(0.3*G60/12,0)))</f>
        <v>1216</v>
      </c>
      <c r="H33" s="77">
        <f>IF(OR($B$11=0,$B$18=0,$A$24=0,$B$16=$AS$16),"",IF(OR($B$16=$A$13,$B$16=$AS$13),H221,ROUNDDOWN(AVERAGE(I60,H60)/12*0.3,0)))</f>
        <v>1404</v>
      </c>
      <c r="I33" s="77">
        <f>IF(OR($B$11=0,$B$18=0,$A$24=0,$B$16=$AS$16),"",IF(OR($B$16=$A$13,$B$16=$AS$13),I221,ROUNDDOWN(0.3*J60/12,0)))</f>
        <v>1566</v>
      </c>
      <c r="J33" s="78">
        <f>IF(OR($B$11=0,$B$18=0,$A$24=0,$B$16=$AS$16),"",IF(OR($B$16=$A$13,$B$16=$AS$13),J221,ROUNDDOWN(AVERAGE(K60,L60)/12*0.3,0)))</f>
        <v>1728</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9460</v>
      </c>
      <c r="F44" s="32">
        <f t="shared" ref="F44:L44" si="8">F47/5*2</f>
        <v>10800</v>
      </c>
      <c r="G44" s="32">
        <f t="shared" si="8"/>
        <v>12160</v>
      </c>
      <c r="H44" s="32">
        <f t="shared" si="8"/>
        <v>13500</v>
      </c>
      <c r="I44" s="32">
        <f t="shared" si="8"/>
        <v>14580</v>
      </c>
      <c r="J44" s="32">
        <f t="shared" si="8"/>
        <v>15660</v>
      </c>
      <c r="K44" s="32">
        <f t="shared" si="8"/>
        <v>16740</v>
      </c>
      <c r="L44" s="33">
        <f t="shared" si="8"/>
        <v>17820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14190</v>
      </c>
      <c r="F45" s="15">
        <f t="array" ref="F45">+MAX(IF($B63:$B85=1,F63:F85))</f>
        <v>16200</v>
      </c>
      <c r="G45" s="15">
        <f t="array" ref="G45">+MAX(IF($B63:$B85=1,G63:G85))</f>
        <v>18240</v>
      </c>
      <c r="H45" s="15">
        <f t="array" ref="H45">+MAX(IF($B63:$B85=1,H63:H85))</f>
        <v>20250</v>
      </c>
      <c r="I45" s="15">
        <f t="array" ref="I45">+MAX(IF($B63:$B85=1,I63:I85))</f>
        <v>21870</v>
      </c>
      <c r="J45" s="15">
        <f t="array" ref="J45">+MAX(IF($B63:$B85=1,J63:J85))</f>
        <v>23490</v>
      </c>
      <c r="K45" s="15">
        <f t="array" ref="K45">+MAX(IF($B63:$B85=1,K63:K85))</f>
        <v>25110</v>
      </c>
      <c r="L45" s="16">
        <f t="array" ref="L45">+MAX(IF($B63:$B85=1,L63:L85))</f>
        <v>26730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18920</v>
      </c>
      <c r="F46" s="15">
        <f t="array" ref="F46">+MAX(IF($B87:$B109=1,F87:F109))</f>
        <v>21600</v>
      </c>
      <c r="G46" s="15">
        <f t="array" ref="G46">+MAX(IF($B87:$B109=1,G87:G109))</f>
        <v>24320</v>
      </c>
      <c r="H46" s="15">
        <f t="array" ref="H46">+MAX(IF($B87:$B109=1,H87:H109))</f>
        <v>27000</v>
      </c>
      <c r="I46" s="15">
        <f t="array" ref="I46">+MAX(IF($B87:$B109=1,I87:I109))</f>
        <v>29160</v>
      </c>
      <c r="J46" s="15">
        <f t="array" ref="J46">+MAX(IF($B87:$B109=1,J87:J109))</f>
        <v>31320</v>
      </c>
      <c r="K46" s="15">
        <f t="array" ref="K46">+MAX(IF($B87:$B109=1,K87:K109))</f>
        <v>33480</v>
      </c>
      <c r="L46" s="16">
        <f t="array" ref="L46">+MAX(IF($B87:$B109=1,L87:L109))</f>
        <v>35640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23650</v>
      </c>
      <c r="F47" s="15">
        <f t="array" ref="F47">+MAX(IF($B111:$B133=1,F111:F133))</f>
        <v>27000</v>
      </c>
      <c r="G47" s="15">
        <f t="array" ref="G47">+MAX(IF($B111:$B133=1,G111:G133))</f>
        <v>30400</v>
      </c>
      <c r="H47" s="15">
        <f t="array" ref="H47">+MAX(IF($B111:$B133=1,H111:H133))</f>
        <v>33750</v>
      </c>
      <c r="I47" s="15">
        <f t="array" ref="I47">+MAX(IF($B111:$B133=1,I111:I133))</f>
        <v>36450</v>
      </c>
      <c r="J47" s="15">
        <f t="array" ref="J47">+MAX(IF($B111:$B133=1,J111:J133))</f>
        <v>39150</v>
      </c>
      <c r="K47" s="15">
        <f t="array" ref="K47">+MAX(IF($B111:$B133=1,K111:K133))</f>
        <v>41850</v>
      </c>
      <c r="L47" s="16">
        <f t="array" ref="L47">+MAX(IF($B111:$B133=1,L111:L133))</f>
        <v>44550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28380</v>
      </c>
      <c r="F48" s="15">
        <f t="array" ref="F48">+MAX(IF($B135:$B157=1,F135:F157))</f>
        <v>32400</v>
      </c>
      <c r="G48" s="15">
        <f t="array" ref="G48">+MAX(IF($B135:$B157=1,G135:G157))</f>
        <v>36480</v>
      </c>
      <c r="H48" s="15">
        <f t="array" ref="H48">+MAX(IF($B135:$B157=1,H135:H157))</f>
        <v>40500</v>
      </c>
      <c r="I48" s="15">
        <f t="array" ref="I48">+MAX(IF($B135:$B157=1,I135:I157))</f>
        <v>43740</v>
      </c>
      <c r="J48" s="15">
        <f t="array" ref="J48">+MAX(IF($B135:$B157=1,J135:J157))</f>
        <v>46980</v>
      </c>
      <c r="K48" s="15">
        <f t="array" ref="K48">+MAX(IF($B135:$B157=1,K135:K157))</f>
        <v>50220</v>
      </c>
      <c r="L48" s="16">
        <f t="array" ref="L48">+MAX(IF($B135:$B157=1,L135:L157))</f>
        <v>53460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33110</v>
      </c>
      <c r="F49" s="15">
        <f t="shared" ref="F49:L49" si="9">F47/5*7</f>
        <v>37800</v>
      </c>
      <c r="G49" s="15">
        <f t="shared" si="9"/>
        <v>42560</v>
      </c>
      <c r="H49" s="15">
        <f t="shared" si="9"/>
        <v>47250</v>
      </c>
      <c r="I49" s="15">
        <f t="shared" si="9"/>
        <v>51030</v>
      </c>
      <c r="J49" s="15">
        <f t="shared" si="9"/>
        <v>54810</v>
      </c>
      <c r="K49" s="15">
        <f t="shared" si="9"/>
        <v>58590</v>
      </c>
      <c r="L49" s="16">
        <f t="shared" si="9"/>
        <v>62370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37840</v>
      </c>
      <c r="F50" s="17">
        <f t="array" ref="F50">+MAX(IF($B159:$B181=1,F159:F181))</f>
        <v>43200</v>
      </c>
      <c r="G50" s="17">
        <f t="array" ref="G50">+MAX(IF($B159:$B181=1,G159:G181))</f>
        <v>48640</v>
      </c>
      <c r="H50" s="17">
        <f t="array" ref="H50">+MAX(IF($B159:$B181=1,H159:H181))</f>
        <v>54000</v>
      </c>
      <c r="I50" s="17">
        <f t="array" ref="I50">+MAX(IF($B159:$B181=1,I159:I181))</f>
        <v>58320</v>
      </c>
      <c r="J50" s="17">
        <f t="array" ref="J50">+MAX(IF($B159:$B181=1,J159:J181))</f>
        <v>62640</v>
      </c>
      <c r="K50" s="17">
        <f t="array" ref="K50">+MAX(IF($B159:$B181=1,K159:K181))</f>
        <v>66960</v>
      </c>
      <c r="L50" s="18">
        <f t="array" ref="L50">+MAX(IF($B159:$B181=1,L159:L181))</f>
        <v>71280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9460</v>
      </c>
      <c r="F54" s="32">
        <f t="shared" ref="F54:L54" si="10">F57/5*2</f>
        <v>10800</v>
      </c>
      <c r="G54" s="32">
        <f t="shared" si="10"/>
        <v>12160</v>
      </c>
      <c r="H54" s="32">
        <f t="shared" si="10"/>
        <v>13500</v>
      </c>
      <c r="I54" s="32">
        <f t="shared" si="10"/>
        <v>14580</v>
      </c>
      <c r="J54" s="32">
        <f t="shared" si="10"/>
        <v>15660</v>
      </c>
      <c r="K54" s="32">
        <f t="shared" si="10"/>
        <v>16740</v>
      </c>
      <c r="L54" s="33">
        <f t="shared" si="10"/>
        <v>17820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14190</v>
      </c>
      <c r="F55" s="15">
        <f t="array" ref="F55">+MAX(IF($C63:$C85=1,F63:F85))</f>
        <v>16200</v>
      </c>
      <c r="G55" s="15">
        <f t="array" ref="G55">+MAX(IF($C63:$C85=1,G63:G85))</f>
        <v>18240</v>
      </c>
      <c r="H55" s="15">
        <f t="array" ref="H55">+MAX(IF($C63:$C85=1,H63:H85))</f>
        <v>20250</v>
      </c>
      <c r="I55" s="15">
        <f t="array" ref="I55">+MAX(IF($C63:$C85=1,I63:I85))</f>
        <v>21870</v>
      </c>
      <c r="J55" s="15">
        <f t="array" ref="J55">+MAX(IF($C63:$C85=1,J63:J85))</f>
        <v>23490</v>
      </c>
      <c r="K55" s="15">
        <f t="array" ref="K55">+MAX(IF($C63:$C85=1,K63:K85))</f>
        <v>25110</v>
      </c>
      <c r="L55" s="16">
        <f t="array" ref="L55">+MAX(IF($C63:$C85=1,L63:L85))</f>
        <v>26730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18920</v>
      </c>
      <c r="F56" s="15">
        <f t="array" ref="F56">+MAX(IF($C87:$C109=1,F87:F109))</f>
        <v>21600</v>
      </c>
      <c r="G56" s="15">
        <f t="array" ref="G56">+MAX(IF($C87:$C109=1,G87:G109))</f>
        <v>24320</v>
      </c>
      <c r="H56" s="15">
        <f t="array" ref="H56">+MAX(IF($C87:$C109=1,H87:H109))</f>
        <v>27000</v>
      </c>
      <c r="I56" s="15">
        <f t="array" ref="I56">+MAX(IF($C87:$C109=1,I87:I109))</f>
        <v>29160</v>
      </c>
      <c r="J56" s="15">
        <f t="array" ref="J56">+MAX(IF($C87:$C109=1,J87:J109))</f>
        <v>31320</v>
      </c>
      <c r="K56" s="15">
        <f t="array" ref="K56">+MAX(IF($C87:$C109=1,K87:K109))</f>
        <v>33480</v>
      </c>
      <c r="L56" s="16">
        <f t="array" ref="L56">+MAX(IF($C87:$C109=1,L87:L109))</f>
        <v>35640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23650</v>
      </c>
      <c r="F57" s="15">
        <f t="array" ref="F57">+MAX(IF($C111:$C133=1,F111:F133))</f>
        <v>27000</v>
      </c>
      <c r="G57" s="15">
        <f t="array" ref="G57">+MAX(IF($C111:$C133=1,G111:G133))</f>
        <v>30400</v>
      </c>
      <c r="H57" s="15">
        <f t="array" ref="H57">+MAX(IF($C111:$C133=1,H111:H133))</f>
        <v>33750</v>
      </c>
      <c r="I57" s="15">
        <f t="array" ref="I57">+MAX(IF($C111:$C133=1,I111:I133))</f>
        <v>36450</v>
      </c>
      <c r="J57" s="15">
        <f t="array" ref="J57">+MAX(IF($C111:$C133=1,J111:J133))</f>
        <v>39150</v>
      </c>
      <c r="K57" s="15">
        <f t="array" ref="K57">+MAX(IF($C111:$C133=1,K111:K133))</f>
        <v>41850</v>
      </c>
      <c r="L57" s="16">
        <f t="array" ref="L57">+MAX(IF($C111:$C133=1,L111:L133))</f>
        <v>44550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28380</v>
      </c>
      <c r="F58" s="15">
        <f t="array" ref="F58">+MAX(IF($C135:$C157=1,F135:F157))</f>
        <v>32400</v>
      </c>
      <c r="G58" s="15">
        <f t="array" ref="G58">+MAX(IF($C135:$C157=1,G135:G157))</f>
        <v>36480</v>
      </c>
      <c r="H58" s="15">
        <f t="array" ref="H58">+MAX(IF($C135:$C157=1,H135:H157))</f>
        <v>40500</v>
      </c>
      <c r="I58" s="15">
        <f t="array" ref="I58">+MAX(IF($C135:$C157=1,I135:I157))</f>
        <v>43740</v>
      </c>
      <c r="J58" s="15">
        <f t="array" ref="J58">+MAX(IF($C135:$C157=1,J135:J157))</f>
        <v>46980</v>
      </c>
      <c r="K58" s="15">
        <f t="array" ref="K58">+MAX(IF($C135:$C157=1,K135:K157))</f>
        <v>50220</v>
      </c>
      <c r="L58" s="16">
        <f t="array" ref="L58">+MAX(IF($C135:$C157=1,L135:L157))</f>
        <v>53460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33110</v>
      </c>
      <c r="F59" s="15">
        <f t="shared" ref="F59:L59" si="11">F57/5*7</f>
        <v>37800</v>
      </c>
      <c r="G59" s="15">
        <f t="shared" si="11"/>
        <v>42560</v>
      </c>
      <c r="H59" s="15">
        <f t="shared" si="11"/>
        <v>47250</v>
      </c>
      <c r="I59" s="15">
        <f t="shared" si="11"/>
        <v>51030</v>
      </c>
      <c r="J59" s="15">
        <f t="shared" si="11"/>
        <v>54810</v>
      </c>
      <c r="K59" s="15">
        <f t="shared" si="11"/>
        <v>58590</v>
      </c>
      <c r="L59" s="16">
        <f t="shared" si="11"/>
        <v>62370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37840</v>
      </c>
      <c r="F60" s="17">
        <f t="array" ref="F60">+MAX(IF($C159:$C181=1,F159:F181))</f>
        <v>43200</v>
      </c>
      <c r="G60" s="17">
        <f t="array" ref="G60">+MAX(IF($C159:$C181=1,G159:G181))</f>
        <v>48640</v>
      </c>
      <c r="H60" s="17">
        <f t="array" ref="H60">+MAX(IF($C159:$C181=1,H159:H181))</f>
        <v>54000</v>
      </c>
      <c r="I60" s="17">
        <f t="array" ref="I60">+MAX(IF($C159:$C181=1,I159:I181))</f>
        <v>58320</v>
      </c>
      <c r="J60" s="17">
        <f t="array" ref="J60">+MAX(IF($C159:$C181=1,J159:J181))</f>
        <v>62640</v>
      </c>
      <c r="K60" s="17">
        <f t="array" ref="K60">+MAX(IF($C159:$C181=1,K159:K181))</f>
        <v>66960</v>
      </c>
      <c r="L60" s="18">
        <f t="array" ref="L60">+MAX(IF($C159:$C181=1,L159:L181))</f>
        <v>71280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12150</v>
      </c>
      <c r="F63" s="298">
        <f t="shared" si="14"/>
        <v>13890</v>
      </c>
      <c r="G63" s="298">
        <f t="shared" si="14"/>
        <v>15630</v>
      </c>
      <c r="H63" s="298">
        <f t="shared" si="14"/>
        <v>17370</v>
      </c>
      <c r="I63" s="298">
        <f t="shared" si="14"/>
        <v>18750</v>
      </c>
      <c r="J63" s="298">
        <f t="shared" si="14"/>
        <v>20160</v>
      </c>
      <c r="K63" s="298">
        <f t="shared" si="14"/>
        <v>21540</v>
      </c>
      <c r="L63" s="298">
        <f t="shared" si="14"/>
        <v>22920</v>
      </c>
      <c r="N63" s="91" t="str">
        <f>CONCATENATE($AU$10,$B$11,$N$62)</f>
        <v>Before 12-31-2008Grayson30</v>
      </c>
      <c r="P63" s="194">
        <f>VLOOKUP($N63,'pre 12-31-08'!$A$4:$L$1400,E$62+3,FALSE)</f>
        <v>12150</v>
      </c>
      <c r="Q63" s="194">
        <f>VLOOKUP($N63,'pre 12-31-08'!$A$4:$L$1400,F$62+3,FALSE)</f>
        <v>13890</v>
      </c>
      <c r="R63" s="194">
        <f>VLOOKUP($N63,'pre 12-31-08'!$A$4:$L$1400,G$62+3,FALSE)</f>
        <v>15630</v>
      </c>
      <c r="S63" s="194">
        <f>VLOOKUP($N63,'pre 12-31-08'!$A$4:$L$1400,H$62+3,FALSE)</f>
        <v>17370</v>
      </c>
      <c r="T63" s="194">
        <f>VLOOKUP($N63,'pre 12-31-08'!$A$4:$L$1400,I$62+3,FALSE)</f>
        <v>18750</v>
      </c>
      <c r="U63" s="194">
        <f>VLOOKUP($N63,'pre 12-31-08'!$A$4:$L$1400,J$62+3,FALSE)</f>
        <v>20160</v>
      </c>
      <c r="V63" s="194">
        <f>VLOOKUP($N63,'pre 12-31-08'!$A$4:$L$1400,K$62+3,FALSE)</f>
        <v>21540</v>
      </c>
      <c r="W63" s="194">
        <f>VLOOKUP($N63,'pre 12-31-08'!$A$4:$L$1400,L$62+3,FALSE)</f>
        <v>22920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12120</v>
      </c>
      <c r="F64" s="298">
        <f t="shared" si="14"/>
        <v>13830</v>
      </c>
      <c r="G64" s="298">
        <f t="shared" si="14"/>
        <v>15570</v>
      </c>
      <c r="H64" s="298">
        <f t="shared" si="14"/>
        <v>17280</v>
      </c>
      <c r="I64" s="298">
        <f t="shared" si="14"/>
        <v>18690</v>
      </c>
      <c r="J64" s="298">
        <f t="shared" si="14"/>
        <v>20070</v>
      </c>
      <c r="K64" s="298">
        <f t="shared" si="14"/>
        <v>21450</v>
      </c>
      <c r="L64" s="298">
        <f t="shared" si="14"/>
        <v>22830</v>
      </c>
      <c r="N64" s="91" t="str">
        <f>CONCATENATE($AU$11,$B$11,$N$62)</f>
        <v>1/1/2009 - 5/13/2010Grayson30</v>
      </c>
      <c r="P64" s="194">
        <f>VLOOKUP($N64,'1-1-09-5-14-10'!$A$4:$L$1400,E$62+3,FALSE)</f>
        <v>12120</v>
      </c>
      <c r="Q64" s="194">
        <f>VLOOKUP($N64,'1-1-09-5-14-10'!$A$4:$L$1400,F$62+3,FALSE)</f>
        <v>13830</v>
      </c>
      <c r="R64" s="194">
        <f>VLOOKUP($N64,'1-1-09-5-14-10'!$A$4:$L$1400,G$62+3,FALSE)</f>
        <v>15570</v>
      </c>
      <c r="S64" s="194">
        <f>VLOOKUP($N64,'1-1-09-5-14-10'!$A$4:$L$1400,H$62+3,FALSE)</f>
        <v>17280</v>
      </c>
      <c r="T64" s="194">
        <f>VLOOKUP($N64,'1-1-09-5-14-10'!$A$4:$L$1400,I$62+3,FALSE)</f>
        <v>18690</v>
      </c>
      <c r="U64" s="194">
        <f>VLOOKUP($N64,'1-1-09-5-14-10'!$A$4:$L$1400,J$62+3,FALSE)</f>
        <v>20070</v>
      </c>
      <c r="V64" s="194">
        <f>VLOOKUP($N64,'1-1-09-5-14-10'!$A$4:$L$1400,K$62+3,FALSE)</f>
        <v>21450</v>
      </c>
      <c r="W64" s="194">
        <f>VLOOKUP($N64,'1-1-09-5-14-10'!$A$4:$L$1400,L$62+3,FALSE)</f>
        <v>22830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12120</v>
      </c>
      <c r="F65" s="299">
        <f t="shared" si="17"/>
        <v>13830</v>
      </c>
      <c r="G65" s="299">
        <f t="shared" si="17"/>
        <v>15570</v>
      </c>
      <c r="H65" s="299">
        <f t="shared" si="17"/>
        <v>17280</v>
      </c>
      <c r="I65" s="299">
        <f t="shared" si="17"/>
        <v>18690</v>
      </c>
      <c r="J65" s="299">
        <f t="shared" si="17"/>
        <v>20070</v>
      </c>
      <c r="K65" s="299">
        <f t="shared" si="17"/>
        <v>21450</v>
      </c>
      <c r="L65" s="299">
        <f t="shared" si="17"/>
        <v>22830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12120</v>
      </c>
      <c r="F66" s="298">
        <f t="shared" si="18"/>
        <v>13830</v>
      </c>
      <c r="G66" s="298">
        <f t="shared" si="18"/>
        <v>15570</v>
      </c>
      <c r="H66" s="298">
        <f t="shared" si="18"/>
        <v>17280</v>
      </c>
      <c r="I66" s="298">
        <f t="shared" si="18"/>
        <v>18690</v>
      </c>
      <c r="J66" s="298">
        <f t="shared" si="18"/>
        <v>20070</v>
      </c>
      <c r="K66" s="298">
        <f t="shared" si="18"/>
        <v>21450</v>
      </c>
      <c r="L66" s="298">
        <f t="shared" si="18"/>
        <v>22830</v>
      </c>
      <c r="N66" s="91" t="str">
        <f>CONCATENATE($AU$13,$B$11,$N$62)</f>
        <v>6/29/2010 - 5/30/2011Grayson30</v>
      </c>
      <c r="P66" s="194">
        <f>VLOOKUP($N66,'5-14-10-5-31-11'!$A$4:$L$1400,E$62+3,FALSE)</f>
        <v>12120</v>
      </c>
      <c r="Q66" s="194">
        <f>VLOOKUP($N66,'5-14-10-5-31-11'!$A$4:$L$1400,F$62+3,FALSE)</f>
        <v>13830</v>
      </c>
      <c r="R66" s="194">
        <f>VLOOKUP($N66,'5-14-10-5-31-11'!$A$4:$L$1400,G$62+3,FALSE)</f>
        <v>15570</v>
      </c>
      <c r="S66" s="194">
        <f>VLOOKUP($N66,'5-14-10-5-31-11'!$A$4:$L$1400,H$62+3,FALSE)</f>
        <v>17280</v>
      </c>
      <c r="T66" s="194">
        <f>VLOOKUP($N66,'5-14-10-5-31-11'!$A$4:$L$1400,I$62+3,FALSE)</f>
        <v>18690</v>
      </c>
      <c r="U66" s="194">
        <f>VLOOKUP($N66,'5-14-10-5-31-11'!$A$4:$L$1400,J$62+3,FALSE)</f>
        <v>20070</v>
      </c>
      <c r="V66" s="194">
        <f>VLOOKUP($N66,'5-14-10-5-31-11'!$A$4:$L$1400,K$62+3,FALSE)</f>
        <v>21450</v>
      </c>
      <c r="W66" s="194">
        <f>VLOOKUP($N66,'5-14-10-5-31-11'!$A$4:$L$1400,L$62+3,FALSE)</f>
        <v>22830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12390</v>
      </c>
      <c r="F67" s="299">
        <f t="shared" si="20"/>
        <v>14160</v>
      </c>
      <c r="G67" s="299">
        <f t="shared" si="20"/>
        <v>15930</v>
      </c>
      <c r="H67" s="299">
        <f t="shared" si="20"/>
        <v>17700</v>
      </c>
      <c r="I67" s="299">
        <f t="shared" si="20"/>
        <v>19140</v>
      </c>
      <c r="J67" s="299">
        <f t="shared" si="20"/>
        <v>20550</v>
      </c>
      <c r="K67" s="299">
        <f t="shared" si="20"/>
        <v>21960</v>
      </c>
      <c r="L67" s="299">
        <f t="shared" si="20"/>
        <v>23370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12390</v>
      </c>
      <c r="F68" s="298">
        <f t="shared" si="21"/>
        <v>14160</v>
      </c>
      <c r="G68" s="298">
        <f t="shared" si="21"/>
        <v>15930</v>
      </c>
      <c r="H68" s="298">
        <f t="shared" si="21"/>
        <v>17700</v>
      </c>
      <c r="I68" s="298">
        <f t="shared" si="21"/>
        <v>19140</v>
      </c>
      <c r="J68" s="298">
        <f t="shared" si="21"/>
        <v>20550</v>
      </c>
      <c r="K68" s="298">
        <f t="shared" si="21"/>
        <v>21960</v>
      </c>
      <c r="L68" s="298">
        <f t="shared" si="21"/>
        <v>23370</v>
      </c>
      <c r="N68" s="168" t="s">
        <v>2103</v>
      </c>
      <c r="P68" s="194">
        <f t="shared" ref="P68:W68" si="22">+P116/5*3</f>
        <v>12390</v>
      </c>
      <c r="Q68" s="194">
        <f t="shared" si="22"/>
        <v>14160</v>
      </c>
      <c r="R68" s="194">
        <f t="shared" si="22"/>
        <v>15930</v>
      </c>
      <c r="S68" s="194">
        <f t="shared" si="22"/>
        <v>17700</v>
      </c>
      <c r="T68" s="194">
        <f t="shared" si="22"/>
        <v>19140</v>
      </c>
      <c r="U68" s="194">
        <f t="shared" si="22"/>
        <v>20550</v>
      </c>
      <c r="V68" s="194">
        <f t="shared" si="22"/>
        <v>21960</v>
      </c>
      <c r="W68" s="194">
        <f t="shared" si="22"/>
        <v>23370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12570</v>
      </c>
      <c r="F69" s="299">
        <f t="shared" ref="F69:L69" si="25">+MAX(F68,F70)</f>
        <v>14370</v>
      </c>
      <c r="G69" s="299">
        <f t="shared" si="25"/>
        <v>16170</v>
      </c>
      <c r="H69" s="299">
        <f t="shared" si="25"/>
        <v>17940</v>
      </c>
      <c r="I69" s="299">
        <f t="shared" si="25"/>
        <v>19380</v>
      </c>
      <c r="J69" s="299">
        <f t="shared" si="25"/>
        <v>20820</v>
      </c>
      <c r="K69" s="299">
        <f t="shared" si="25"/>
        <v>22260</v>
      </c>
      <c r="L69" s="299">
        <f t="shared" si="25"/>
        <v>23700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12570</v>
      </c>
      <c r="F70" s="298">
        <f t="shared" si="26"/>
        <v>14370</v>
      </c>
      <c r="G70" s="298">
        <f t="shared" si="26"/>
        <v>16170</v>
      </c>
      <c r="H70" s="298">
        <f t="shared" si="26"/>
        <v>17940</v>
      </c>
      <c r="I70" s="298">
        <f t="shared" si="26"/>
        <v>19380</v>
      </c>
      <c r="J70" s="298">
        <f t="shared" si="26"/>
        <v>20820</v>
      </c>
      <c r="K70" s="298">
        <f t="shared" si="26"/>
        <v>22260</v>
      </c>
      <c r="L70" s="298">
        <f t="shared" si="26"/>
        <v>23700</v>
      </c>
      <c r="N70" s="168" t="s">
        <v>2105</v>
      </c>
      <c r="P70" s="194">
        <f t="shared" ref="P70:W70" si="27">+P118/5*3</f>
        <v>12570</v>
      </c>
      <c r="Q70" s="194">
        <f t="shared" si="27"/>
        <v>14370</v>
      </c>
      <c r="R70" s="194">
        <f t="shared" si="27"/>
        <v>16170</v>
      </c>
      <c r="S70" s="194">
        <f t="shared" si="27"/>
        <v>17940</v>
      </c>
      <c r="T70" s="194">
        <f t="shared" si="27"/>
        <v>19380</v>
      </c>
      <c r="U70" s="194">
        <f t="shared" si="27"/>
        <v>20820</v>
      </c>
      <c r="V70" s="194">
        <f t="shared" si="27"/>
        <v>22260</v>
      </c>
      <c r="W70" s="194">
        <f t="shared" si="27"/>
        <v>23700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12960</v>
      </c>
      <c r="F71" s="299">
        <f t="shared" si="30"/>
        <v>14820</v>
      </c>
      <c r="G71" s="299">
        <f t="shared" si="30"/>
        <v>16680</v>
      </c>
      <c r="H71" s="299">
        <f t="shared" si="30"/>
        <v>18510</v>
      </c>
      <c r="I71" s="299">
        <f t="shared" si="30"/>
        <v>20010</v>
      </c>
      <c r="J71" s="299">
        <f t="shared" si="30"/>
        <v>21480</v>
      </c>
      <c r="K71" s="299">
        <f t="shared" si="30"/>
        <v>22980</v>
      </c>
      <c r="L71" s="299">
        <f t="shared" si="30"/>
        <v>24450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12960</v>
      </c>
      <c r="F72" s="298">
        <f t="shared" si="31"/>
        <v>14820</v>
      </c>
      <c r="G72" s="298">
        <f t="shared" si="31"/>
        <v>16680</v>
      </c>
      <c r="H72" s="298">
        <f t="shared" si="31"/>
        <v>18510</v>
      </c>
      <c r="I72" s="298">
        <f t="shared" si="31"/>
        <v>20010</v>
      </c>
      <c r="J72" s="298">
        <f t="shared" si="31"/>
        <v>21480</v>
      </c>
      <c r="K72" s="298">
        <f t="shared" si="31"/>
        <v>22980</v>
      </c>
      <c r="L72" s="298">
        <f t="shared" si="31"/>
        <v>24450</v>
      </c>
      <c r="N72" s="168" t="s">
        <v>2123</v>
      </c>
      <c r="P72" s="194">
        <f t="shared" ref="P72:W72" si="32">+P120/5*3</f>
        <v>12960</v>
      </c>
      <c r="Q72" s="194">
        <f t="shared" si="32"/>
        <v>14820</v>
      </c>
      <c r="R72" s="194">
        <f t="shared" si="32"/>
        <v>16680</v>
      </c>
      <c r="S72" s="194">
        <f t="shared" si="32"/>
        <v>18510</v>
      </c>
      <c r="T72" s="194">
        <f t="shared" si="32"/>
        <v>20010</v>
      </c>
      <c r="U72" s="194">
        <f t="shared" si="32"/>
        <v>21480</v>
      </c>
      <c r="V72" s="194">
        <f t="shared" si="32"/>
        <v>22980</v>
      </c>
      <c r="W72" s="194">
        <f t="shared" si="32"/>
        <v>24450</v>
      </c>
      <c r="Y72" s="194">
        <f t="shared" ref="Y72:AF72" si="33">+Y120/5*3</f>
        <v>0</v>
      </c>
      <c r="Z72" s="194">
        <f t="shared" si="33"/>
        <v>0</v>
      </c>
      <c r="AA72" s="194">
        <f t="shared" si="33"/>
        <v>0</v>
      </c>
      <c r="AB72" s="194">
        <f t="shared" si="33"/>
        <v>0</v>
      </c>
      <c r="AC72" s="194">
        <f t="shared" si="33"/>
        <v>0</v>
      </c>
      <c r="AD72" s="194">
        <f t="shared" si="33"/>
        <v>0</v>
      </c>
      <c r="AE72" s="194">
        <f t="shared" si="33"/>
        <v>0</v>
      </c>
      <c r="AF72" s="194">
        <f t="shared" si="33"/>
        <v>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12960</v>
      </c>
      <c r="F73" s="299">
        <f t="shared" si="36"/>
        <v>14820</v>
      </c>
      <c r="G73" s="299">
        <f t="shared" si="36"/>
        <v>16680</v>
      </c>
      <c r="H73" s="299">
        <f t="shared" si="36"/>
        <v>18510</v>
      </c>
      <c r="I73" s="299">
        <f t="shared" si="36"/>
        <v>20010</v>
      </c>
      <c r="J73" s="299">
        <f t="shared" si="36"/>
        <v>21480</v>
      </c>
      <c r="K73" s="299">
        <f t="shared" si="36"/>
        <v>22980</v>
      </c>
      <c r="L73" s="299">
        <f t="shared" si="36"/>
        <v>24450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12960</v>
      </c>
      <c r="F74" s="298">
        <f t="shared" si="37"/>
        <v>14820</v>
      </c>
      <c r="G74" s="298">
        <f t="shared" si="37"/>
        <v>16680</v>
      </c>
      <c r="H74" s="298">
        <f t="shared" si="37"/>
        <v>18510</v>
      </c>
      <c r="I74" s="298">
        <f t="shared" si="37"/>
        <v>20010</v>
      </c>
      <c r="J74" s="298">
        <f t="shared" si="37"/>
        <v>21480</v>
      </c>
      <c r="K74" s="298">
        <f t="shared" si="37"/>
        <v>22980</v>
      </c>
      <c r="L74" s="298">
        <f t="shared" si="37"/>
        <v>24450</v>
      </c>
      <c r="N74" s="95" t="s">
        <v>2187</v>
      </c>
      <c r="P74" s="194">
        <f t="shared" ref="P74:W74" si="38">+P122/5*3</f>
        <v>12330</v>
      </c>
      <c r="Q74" s="194">
        <f t="shared" si="38"/>
        <v>14100</v>
      </c>
      <c r="R74" s="194">
        <f t="shared" si="38"/>
        <v>15870</v>
      </c>
      <c r="S74" s="194">
        <f t="shared" si="38"/>
        <v>17610</v>
      </c>
      <c r="T74" s="194">
        <f t="shared" si="38"/>
        <v>19020</v>
      </c>
      <c r="U74" s="194">
        <f t="shared" si="38"/>
        <v>20430</v>
      </c>
      <c r="V74" s="194">
        <f t="shared" si="38"/>
        <v>21840</v>
      </c>
      <c r="W74" s="194">
        <f t="shared" si="38"/>
        <v>23250</v>
      </c>
      <c r="Y74" s="194">
        <f t="shared" ref="Y74:AF74" si="39">+Y122/5*3</f>
        <v>12960</v>
      </c>
      <c r="Z74" s="194">
        <f t="shared" si="39"/>
        <v>14820</v>
      </c>
      <c r="AA74" s="194">
        <f t="shared" si="39"/>
        <v>16680</v>
      </c>
      <c r="AB74" s="194">
        <f t="shared" si="39"/>
        <v>18510</v>
      </c>
      <c r="AC74" s="194">
        <f t="shared" si="39"/>
        <v>20010</v>
      </c>
      <c r="AD74" s="194">
        <f t="shared" si="39"/>
        <v>21480</v>
      </c>
      <c r="AE74" s="194">
        <f t="shared" si="39"/>
        <v>22980</v>
      </c>
      <c r="AF74" s="194">
        <f t="shared" si="39"/>
        <v>24450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13170</v>
      </c>
      <c r="F75" s="299">
        <f t="shared" ref="F75:L75" si="42">+MAX(F74,F76)</f>
        <v>15030</v>
      </c>
      <c r="G75" s="299">
        <f t="shared" si="42"/>
        <v>16920</v>
      </c>
      <c r="H75" s="299">
        <f t="shared" si="42"/>
        <v>18780</v>
      </c>
      <c r="I75" s="299">
        <f t="shared" si="42"/>
        <v>20310</v>
      </c>
      <c r="J75" s="299">
        <f t="shared" si="42"/>
        <v>21810</v>
      </c>
      <c r="K75" s="299">
        <f t="shared" si="42"/>
        <v>23310</v>
      </c>
      <c r="L75" s="299">
        <f t="shared" si="42"/>
        <v>24810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13170</v>
      </c>
      <c r="F76" s="300">
        <f t="shared" si="43"/>
        <v>15030</v>
      </c>
      <c r="G76" s="300">
        <f t="shared" si="43"/>
        <v>16920</v>
      </c>
      <c r="H76" s="300">
        <f t="shared" si="43"/>
        <v>18780</v>
      </c>
      <c r="I76" s="300">
        <f t="shared" si="43"/>
        <v>20310</v>
      </c>
      <c r="J76" s="300">
        <f t="shared" si="43"/>
        <v>21810</v>
      </c>
      <c r="K76" s="300">
        <f t="shared" si="43"/>
        <v>23310</v>
      </c>
      <c r="L76" s="300">
        <f t="shared" si="43"/>
        <v>24810</v>
      </c>
      <c r="N76" s="95" t="s">
        <v>2226</v>
      </c>
      <c r="P76" s="194">
        <f t="shared" ref="P76:W76" si="44">+P124/5*3</f>
        <v>13050</v>
      </c>
      <c r="Q76" s="194">
        <f t="shared" si="44"/>
        <v>14910</v>
      </c>
      <c r="R76" s="194">
        <f t="shared" si="44"/>
        <v>16770</v>
      </c>
      <c r="S76" s="194">
        <f t="shared" si="44"/>
        <v>18630</v>
      </c>
      <c r="T76" s="194">
        <f t="shared" si="44"/>
        <v>20130</v>
      </c>
      <c r="U76" s="194">
        <f t="shared" si="44"/>
        <v>21630</v>
      </c>
      <c r="V76" s="194">
        <f t="shared" si="44"/>
        <v>23130</v>
      </c>
      <c r="W76" s="194">
        <f t="shared" si="44"/>
        <v>24600</v>
      </c>
      <c r="Y76" s="194">
        <f t="shared" ref="Y76:AF76" si="45">+Y124/5*3</f>
        <v>13170</v>
      </c>
      <c r="Z76" s="194">
        <f t="shared" si="45"/>
        <v>15030</v>
      </c>
      <c r="AA76" s="194">
        <f t="shared" si="45"/>
        <v>16920</v>
      </c>
      <c r="AB76" s="194">
        <f t="shared" si="45"/>
        <v>18780</v>
      </c>
      <c r="AC76" s="194">
        <f t="shared" si="45"/>
        <v>20310</v>
      </c>
      <c r="AD76" s="194">
        <f t="shared" si="45"/>
        <v>21810</v>
      </c>
      <c r="AE76" s="194">
        <f t="shared" si="45"/>
        <v>23310</v>
      </c>
      <c r="AF76" s="194">
        <f t="shared" si="45"/>
        <v>24810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13170</v>
      </c>
      <c r="F77" s="299">
        <f t="shared" ref="F77:L77" si="47">+MAX(F76,F78)</f>
        <v>15030</v>
      </c>
      <c r="G77" s="299">
        <f t="shared" si="47"/>
        <v>16920</v>
      </c>
      <c r="H77" s="299">
        <f t="shared" si="47"/>
        <v>18780</v>
      </c>
      <c r="I77" s="299">
        <f t="shared" si="47"/>
        <v>20310</v>
      </c>
      <c r="J77" s="299">
        <f t="shared" si="47"/>
        <v>21810</v>
      </c>
      <c r="K77" s="299">
        <f t="shared" si="47"/>
        <v>23310</v>
      </c>
      <c r="L77" s="299">
        <f t="shared" si="47"/>
        <v>24810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13170</v>
      </c>
      <c r="F78" s="300">
        <f t="shared" si="49"/>
        <v>15030</v>
      </c>
      <c r="G78" s="300">
        <f t="shared" si="49"/>
        <v>16920</v>
      </c>
      <c r="H78" s="300">
        <f t="shared" si="49"/>
        <v>18780</v>
      </c>
      <c r="I78" s="300">
        <f t="shared" si="49"/>
        <v>20310</v>
      </c>
      <c r="J78" s="300">
        <f t="shared" si="49"/>
        <v>21810</v>
      </c>
      <c r="K78" s="300">
        <f t="shared" si="49"/>
        <v>23310</v>
      </c>
      <c r="L78" s="300">
        <f t="shared" si="49"/>
        <v>24810</v>
      </c>
      <c r="M78" s="207"/>
      <c r="N78" s="95" t="str">
        <f>AU25</f>
        <v>5/13/2016 - 4/13/2017</v>
      </c>
      <c r="O78" s="207"/>
      <c r="P78" s="197">
        <f t="shared" ref="P78:W78" si="50">+P126*0.6</f>
        <v>12390</v>
      </c>
      <c r="Q78" s="197">
        <f t="shared" si="50"/>
        <v>14160</v>
      </c>
      <c r="R78" s="197">
        <f t="shared" si="50"/>
        <v>15930</v>
      </c>
      <c r="S78" s="197">
        <f t="shared" si="50"/>
        <v>17700</v>
      </c>
      <c r="T78" s="197">
        <f t="shared" si="50"/>
        <v>19140</v>
      </c>
      <c r="U78" s="197">
        <f t="shared" si="50"/>
        <v>20550</v>
      </c>
      <c r="V78" s="197">
        <f t="shared" si="50"/>
        <v>21960</v>
      </c>
      <c r="W78" s="197">
        <f t="shared" si="50"/>
        <v>23370</v>
      </c>
      <c r="X78" s="207"/>
      <c r="Y78" s="197">
        <f t="shared" ref="Y78:AF78" si="51">+Y126*0.6</f>
        <v>13170</v>
      </c>
      <c r="Z78" s="197">
        <f t="shared" si="51"/>
        <v>15030</v>
      </c>
      <c r="AA78" s="197">
        <f t="shared" si="51"/>
        <v>16920</v>
      </c>
      <c r="AB78" s="197">
        <f t="shared" si="51"/>
        <v>18780</v>
      </c>
      <c r="AC78" s="197">
        <f t="shared" si="51"/>
        <v>20310</v>
      </c>
      <c r="AD78" s="197">
        <f t="shared" si="51"/>
        <v>21810</v>
      </c>
      <c r="AE78" s="197">
        <f t="shared" si="51"/>
        <v>23310</v>
      </c>
      <c r="AF78" s="197">
        <f t="shared" si="51"/>
        <v>24810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14010</v>
      </c>
      <c r="F79" s="299">
        <f t="shared" si="53"/>
        <v>16020</v>
      </c>
      <c r="G79" s="299">
        <f t="shared" si="53"/>
        <v>18030</v>
      </c>
      <c r="H79" s="299">
        <f t="shared" si="53"/>
        <v>20010</v>
      </c>
      <c r="I79" s="299">
        <f t="shared" si="53"/>
        <v>21630</v>
      </c>
      <c r="J79" s="299">
        <f t="shared" si="53"/>
        <v>23220</v>
      </c>
      <c r="K79" s="299">
        <f t="shared" si="53"/>
        <v>24840</v>
      </c>
      <c r="L79" s="299">
        <f t="shared" si="53"/>
        <v>26430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14010</v>
      </c>
      <c r="F80" s="301">
        <f t="shared" si="54"/>
        <v>16020</v>
      </c>
      <c r="G80" s="301">
        <f t="shared" si="54"/>
        <v>18030</v>
      </c>
      <c r="H80" s="301">
        <f t="shared" si="54"/>
        <v>20010</v>
      </c>
      <c r="I80" s="301">
        <f t="shared" si="54"/>
        <v>21630</v>
      </c>
      <c r="J80" s="301">
        <f t="shared" si="54"/>
        <v>23220</v>
      </c>
      <c r="K80" s="301">
        <f t="shared" si="54"/>
        <v>24840</v>
      </c>
      <c r="L80" s="301">
        <f t="shared" si="54"/>
        <v>26430</v>
      </c>
      <c r="M80" s="207"/>
      <c r="N80" s="95" t="str">
        <f>AU27</f>
        <v>5/30/2017 - 3/31/2018</v>
      </c>
      <c r="O80" s="207"/>
      <c r="P80" s="197">
        <f t="shared" ref="P80:W80" si="55">+P128*0.6</f>
        <v>13260</v>
      </c>
      <c r="Q80" s="197">
        <f t="shared" si="55"/>
        <v>15150</v>
      </c>
      <c r="R80" s="197">
        <f t="shared" si="55"/>
        <v>17040</v>
      </c>
      <c r="S80" s="197">
        <f t="shared" si="55"/>
        <v>18930</v>
      </c>
      <c r="T80" s="197">
        <f t="shared" si="55"/>
        <v>20460</v>
      </c>
      <c r="U80" s="197">
        <f t="shared" si="55"/>
        <v>21960</v>
      </c>
      <c r="V80" s="197">
        <f t="shared" si="55"/>
        <v>23490</v>
      </c>
      <c r="W80" s="197">
        <f t="shared" si="55"/>
        <v>24990</v>
      </c>
      <c r="X80" s="207"/>
      <c r="Y80" s="197">
        <f t="shared" ref="Y80:AF80" si="56">+Y128*0.6</f>
        <v>14010</v>
      </c>
      <c r="Z80" s="197">
        <f t="shared" si="56"/>
        <v>16020</v>
      </c>
      <c r="AA80" s="197">
        <f t="shared" si="56"/>
        <v>18030</v>
      </c>
      <c r="AB80" s="197">
        <f t="shared" si="56"/>
        <v>20010</v>
      </c>
      <c r="AC80" s="197">
        <f t="shared" si="56"/>
        <v>21630</v>
      </c>
      <c r="AD80" s="197">
        <f t="shared" si="56"/>
        <v>23220</v>
      </c>
      <c r="AE80" s="197">
        <f t="shared" si="56"/>
        <v>24840</v>
      </c>
      <c r="AF80" s="197">
        <f t="shared" si="56"/>
        <v>26430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14010</v>
      </c>
      <c r="F81" s="299">
        <f t="shared" si="59"/>
        <v>16020</v>
      </c>
      <c r="G81" s="299">
        <f t="shared" si="59"/>
        <v>18030</v>
      </c>
      <c r="H81" s="299">
        <f t="shared" si="59"/>
        <v>20010</v>
      </c>
      <c r="I81" s="299">
        <f t="shared" si="59"/>
        <v>21630</v>
      </c>
      <c r="J81" s="299">
        <f t="shared" si="59"/>
        <v>23220</v>
      </c>
      <c r="K81" s="299">
        <f t="shared" si="59"/>
        <v>24840</v>
      </c>
      <c r="L81" s="299">
        <f t="shared" si="59"/>
        <v>26430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14010</v>
      </c>
      <c r="F82" s="301">
        <f t="shared" si="61"/>
        <v>16020</v>
      </c>
      <c r="G82" s="301">
        <f t="shared" si="61"/>
        <v>18030</v>
      </c>
      <c r="H82" s="301">
        <f t="shared" si="61"/>
        <v>20010</v>
      </c>
      <c r="I82" s="301">
        <f t="shared" si="61"/>
        <v>21630</v>
      </c>
      <c r="J82" s="301">
        <f t="shared" si="61"/>
        <v>23220</v>
      </c>
      <c r="K82" s="301">
        <f t="shared" si="61"/>
        <v>24840</v>
      </c>
      <c r="L82" s="301">
        <f t="shared" si="61"/>
        <v>26430</v>
      </c>
      <c r="M82" s="207"/>
      <c r="N82" s="95" t="str">
        <f>AU29</f>
        <v>5/17/2018 - 4/23/2018</v>
      </c>
      <c r="O82" s="207"/>
      <c r="P82" s="197">
        <f t="shared" ref="P82:W82" si="62">P130*0.6</f>
        <v>13710</v>
      </c>
      <c r="Q82" s="197">
        <f t="shared" si="62"/>
        <v>15660</v>
      </c>
      <c r="R82" s="197">
        <f t="shared" si="62"/>
        <v>17610</v>
      </c>
      <c r="S82" s="197">
        <f t="shared" si="62"/>
        <v>19560</v>
      </c>
      <c r="T82" s="197">
        <f t="shared" si="62"/>
        <v>21150</v>
      </c>
      <c r="U82" s="197">
        <f t="shared" si="62"/>
        <v>22710</v>
      </c>
      <c r="V82" s="197">
        <f t="shared" si="62"/>
        <v>24270</v>
      </c>
      <c r="W82" s="197">
        <f t="shared" si="62"/>
        <v>25830</v>
      </c>
      <c r="X82" s="207"/>
      <c r="Y82" s="197">
        <f t="shared" ref="Y82:AF82" si="63">+Y130*0.6</f>
        <v>14010</v>
      </c>
      <c r="Z82" s="197">
        <f t="shared" si="63"/>
        <v>16020</v>
      </c>
      <c r="AA82" s="197">
        <f t="shared" si="63"/>
        <v>18030</v>
      </c>
      <c r="AB82" s="197">
        <f t="shared" si="63"/>
        <v>20010</v>
      </c>
      <c r="AC82" s="197">
        <f t="shared" si="63"/>
        <v>21630</v>
      </c>
      <c r="AD82" s="197">
        <f t="shared" si="63"/>
        <v>23220</v>
      </c>
      <c r="AE82" s="197">
        <f t="shared" si="63"/>
        <v>24840</v>
      </c>
      <c r="AF82" s="197">
        <f t="shared" si="63"/>
        <v>26430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14190</v>
      </c>
      <c r="F83" s="299">
        <f t="shared" ref="F83:L83" si="65">+MAX(F82,F84)</f>
        <v>16200</v>
      </c>
      <c r="G83" s="299">
        <f t="shared" si="65"/>
        <v>18240</v>
      </c>
      <c r="H83" s="299">
        <f t="shared" si="65"/>
        <v>20250</v>
      </c>
      <c r="I83" s="299">
        <f t="shared" si="65"/>
        <v>21870</v>
      </c>
      <c r="J83" s="299">
        <f t="shared" si="65"/>
        <v>23490</v>
      </c>
      <c r="K83" s="299">
        <f t="shared" si="65"/>
        <v>25110</v>
      </c>
      <c r="L83" s="299">
        <f t="shared" si="65"/>
        <v>26730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14190</v>
      </c>
      <c r="F84" s="301">
        <f t="shared" ref="F84:L84" si="66">+MAX(Q84,Z84,AJ84)</f>
        <v>16200</v>
      </c>
      <c r="G84" s="301">
        <f t="shared" si="66"/>
        <v>18240</v>
      </c>
      <c r="H84" s="301">
        <f t="shared" si="66"/>
        <v>20250</v>
      </c>
      <c r="I84" s="301">
        <f t="shared" si="66"/>
        <v>21870</v>
      </c>
      <c r="J84" s="301">
        <f t="shared" si="66"/>
        <v>23490</v>
      </c>
      <c r="K84" s="301">
        <f t="shared" si="66"/>
        <v>25110</v>
      </c>
      <c r="L84" s="301">
        <f t="shared" si="66"/>
        <v>26730</v>
      </c>
      <c r="M84" s="207"/>
      <c r="N84" s="95" t="str">
        <f>AU31</f>
        <v>On or After 6/9/2019</v>
      </c>
      <c r="O84" s="207"/>
      <c r="P84" s="197">
        <f>P132*0.6</f>
        <v>14190</v>
      </c>
      <c r="Q84" s="197">
        <f t="shared" ref="Q84:W84" si="67">Q132*0.6</f>
        <v>16200</v>
      </c>
      <c r="R84" s="197">
        <f t="shared" si="67"/>
        <v>18240</v>
      </c>
      <c r="S84" s="197">
        <f t="shared" si="67"/>
        <v>20250</v>
      </c>
      <c r="T84" s="197">
        <f t="shared" si="67"/>
        <v>21870</v>
      </c>
      <c r="U84" s="197">
        <f t="shared" si="67"/>
        <v>23490</v>
      </c>
      <c r="V84" s="197">
        <f t="shared" si="67"/>
        <v>25110</v>
      </c>
      <c r="W84" s="197">
        <f t="shared" si="67"/>
        <v>26730</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16200</v>
      </c>
      <c r="F87" s="298">
        <f t="shared" si="72"/>
        <v>18520</v>
      </c>
      <c r="G87" s="298">
        <f t="shared" si="72"/>
        <v>20840</v>
      </c>
      <c r="H87" s="298">
        <f t="shared" si="72"/>
        <v>23160</v>
      </c>
      <c r="I87" s="298">
        <f t="shared" si="72"/>
        <v>25000</v>
      </c>
      <c r="J87" s="298">
        <f t="shared" si="72"/>
        <v>26880</v>
      </c>
      <c r="K87" s="298">
        <f t="shared" si="72"/>
        <v>28720</v>
      </c>
      <c r="L87" s="298">
        <f t="shared" si="72"/>
        <v>30560</v>
      </c>
      <c r="N87" s="91" t="str">
        <f>CONCATENATE($AU$10,$B$11,N86)</f>
        <v>Before 12-31-2008Grayson40</v>
      </c>
      <c r="P87" s="194">
        <f>VLOOKUP($N87,'pre 12-31-08'!$A$4:$L$1400,E$86+3,FALSE)</f>
        <v>16200</v>
      </c>
      <c r="Q87" s="194">
        <f>VLOOKUP($N87,'pre 12-31-08'!$A$4:$L$1400,F$86+3,FALSE)</f>
        <v>18520</v>
      </c>
      <c r="R87" s="194">
        <f>VLOOKUP($N87,'pre 12-31-08'!$A$4:$L$1400,G$86+3,FALSE)</f>
        <v>20840</v>
      </c>
      <c r="S87" s="194">
        <f>VLOOKUP($N87,'pre 12-31-08'!$A$4:$L$1400,H$86+3,FALSE)</f>
        <v>23160</v>
      </c>
      <c r="T87" s="194">
        <f>VLOOKUP($N87,'pre 12-31-08'!$A$4:$L$1400,I$86+3,FALSE)</f>
        <v>25000</v>
      </c>
      <c r="U87" s="194">
        <f>VLOOKUP($N87,'pre 12-31-08'!$A$4:$L$1400,J$86+3,FALSE)</f>
        <v>26880</v>
      </c>
      <c r="V87" s="194">
        <f>VLOOKUP($N87,'pre 12-31-08'!$A$4:$L$1400,K$86+3,FALSE)</f>
        <v>28720</v>
      </c>
      <c r="W87" s="194">
        <f>VLOOKUP($N87,'pre 12-31-08'!$A$4:$L$1400,L$86+3,FALSE)</f>
        <v>30560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16160</v>
      </c>
      <c r="F88" s="298">
        <f t="shared" si="72"/>
        <v>18440</v>
      </c>
      <c r="G88" s="298">
        <f t="shared" si="72"/>
        <v>20760</v>
      </c>
      <c r="H88" s="298">
        <f t="shared" si="72"/>
        <v>23040</v>
      </c>
      <c r="I88" s="298">
        <f t="shared" si="72"/>
        <v>24920</v>
      </c>
      <c r="J88" s="298">
        <f t="shared" si="72"/>
        <v>26760</v>
      </c>
      <c r="K88" s="298">
        <f t="shared" si="72"/>
        <v>28600</v>
      </c>
      <c r="L88" s="298">
        <f t="shared" si="72"/>
        <v>30440</v>
      </c>
      <c r="N88" s="91" t="str">
        <f>CONCATENATE($AU$11,$B$11,$N$86)</f>
        <v>1/1/2009 - 5/13/2010Grayson40</v>
      </c>
      <c r="P88" s="194">
        <f>VLOOKUP($N88,'1-1-09-5-14-10'!$A$4:$L$1400,E$86+3,FALSE)</f>
        <v>16160</v>
      </c>
      <c r="Q88" s="194">
        <f>VLOOKUP($N88,'1-1-09-5-14-10'!$A$4:$L$1400,F$86+3,FALSE)</f>
        <v>18440</v>
      </c>
      <c r="R88" s="194">
        <f>VLOOKUP($N88,'1-1-09-5-14-10'!$A$4:$L$1400,G$86+3,FALSE)</f>
        <v>20760</v>
      </c>
      <c r="S88" s="194">
        <f>VLOOKUP($N88,'1-1-09-5-14-10'!$A$4:$L$1400,H$86+3,FALSE)</f>
        <v>23040</v>
      </c>
      <c r="T88" s="194">
        <f>VLOOKUP($N88,'1-1-09-5-14-10'!$A$4:$L$1400,I$86+3,FALSE)</f>
        <v>24920</v>
      </c>
      <c r="U88" s="194">
        <f>VLOOKUP($N88,'1-1-09-5-14-10'!$A$4:$L$1400,J$86+3,FALSE)</f>
        <v>26760</v>
      </c>
      <c r="V88" s="194">
        <f>VLOOKUP($N88,'1-1-09-5-14-10'!$A$4:$L$1400,K$86+3,FALSE)</f>
        <v>28600</v>
      </c>
      <c r="W88" s="194">
        <f>VLOOKUP($N88,'1-1-09-5-14-10'!$A$4:$L$1400,L$86+3,FALSE)</f>
        <v>30440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16160</v>
      </c>
      <c r="F89" s="299">
        <f t="shared" si="75"/>
        <v>18440</v>
      </c>
      <c r="G89" s="299">
        <f t="shared" si="75"/>
        <v>20760</v>
      </c>
      <c r="H89" s="299">
        <f t="shared" si="75"/>
        <v>23040</v>
      </c>
      <c r="I89" s="299">
        <f t="shared" si="75"/>
        <v>24920</v>
      </c>
      <c r="J89" s="299">
        <f t="shared" si="75"/>
        <v>26760</v>
      </c>
      <c r="K89" s="299">
        <f t="shared" si="75"/>
        <v>28600</v>
      </c>
      <c r="L89" s="299">
        <f t="shared" si="75"/>
        <v>30440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16160</v>
      </c>
      <c r="F90" s="298">
        <f t="shared" si="77"/>
        <v>18440</v>
      </c>
      <c r="G90" s="298">
        <f t="shared" si="77"/>
        <v>20760</v>
      </c>
      <c r="H90" s="298">
        <f t="shared" si="77"/>
        <v>23040</v>
      </c>
      <c r="I90" s="298">
        <f t="shared" si="77"/>
        <v>24920</v>
      </c>
      <c r="J90" s="298">
        <f t="shared" si="77"/>
        <v>26760</v>
      </c>
      <c r="K90" s="298">
        <f t="shared" si="77"/>
        <v>28600</v>
      </c>
      <c r="L90" s="298">
        <f t="shared" si="77"/>
        <v>30440</v>
      </c>
      <c r="N90" s="91" t="str">
        <f>CONCATENATE($AU$13,$B$11,$N$86)</f>
        <v>6/29/2010 - 5/30/2011Grayson40</v>
      </c>
      <c r="P90" s="194">
        <f>VLOOKUP($N90,'5-14-10-5-31-11'!$A$4:$L$1400,E$86+3,FALSE)</f>
        <v>16160</v>
      </c>
      <c r="Q90" s="194">
        <f>VLOOKUP($N90,'5-14-10-5-31-11'!$A$4:$L$1400,F$86+3,FALSE)</f>
        <v>18440</v>
      </c>
      <c r="R90" s="194">
        <f>VLOOKUP($N90,'5-14-10-5-31-11'!$A$4:$L$1400,G$86+3,FALSE)</f>
        <v>20760</v>
      </c>
      <c r="S90" s="194">
        <f>VLOOKUP($N90,'5-14-10-5-31-11'!$A$4:$L$1400,H$86+3,FALSE)</f>
        <v>23040</v>
      </c>
      <c r="T90" s="194">
        <f>VLOOKUP($N90,'5-14-10-5-31-11'!$A$4:$L$1400,I$86+3,FALSE)</f>
        <v>24920</v>
      </c>
      <c r="U90" s="194">
        <f>VLOOKUP($N90,'5-14-10-5-31-11'!$A$4:$L$1400,J$86+3,FALSE)</f>
        <v>26760</v>
      </c>
      <c r="V90" s="194">
        <f>VLOOKUP($N90,'5-14-10-5-31-11'!$A$4:$L$1400,K$86+3,FALSE)</f>
        <v>28600</v>
      </c>
      <c r="W90" s="194">
        <f>VLOOKUP($N90,'5-14-10-5-31-11'!$A$4:$L$1400,L$86+3,FALSE)</f>
        <v>30440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16520</v>
      </c>
      <c r="F91" s="299">
        <f t="shared" si="79"/>
        <v>18880</v>
      </c>
      <c r="G91" s="299">
        <f t="shared" si="79"/>
        <v>21240</v>
      </c>
      <c r="H91" s="299">
        <f t="shared" si="79"/>
        <v>23600</v>
      </c>
      <c r="I91" s="299">
        <f t="shared" si="79"/>
        <v>25520</v>
      </c>
      <c r="J91" s="299">
        <f t="shared" si="79"/>
        <v>27400</v>
      </c>
      <c r="K91" s="299">
        <f t="shared" si="79"/>
        <v>29280</v>
      </c>
      <c r="L91" s="299">
        <f t="shared" si="79"/>
        <v>31160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16520</v>
      </c>
      <c r="F92" s="298">
        <f t="shared" si="80"/>
        <v>18880</v>
      </c>
      <c r="G92" s="298">
        <f t="shared" si="80"/>
        <v>21240</v>
      </c>
      <c r="H92" s="298">
        <f t="shared" si="80"/>
        <v>23600</v>
      </c>
      <c r="I92" s="298">
        <f t="shared" si="80"/>
        <v>25520</v>
      </c>
      <c r="J92" s="298">
        <f t="shared" si="80"/>
        <v>27400</v>
      </c>
      <c r="K92" s="298">
        <f t="shared" si="80"/>
        <v>29280</v>
      </c>
      <c r="L92" s="298">
        <f t="shared" si="80"/>
        <v>31160</v>
      </c>
      <c r="N92" s="168" t="s">
        <v>2103</v>
      </c>
      <c r="P92" s="194">
        <f t="shared" ref="P92:W92" si="81">+P116/5*4</f>
        <v>16520</v>
      </c>
      <c r="Q92" s="194">
        <f t="shared" si="81"/>
        <v>18880</v>
      </c>
      <c r="R92" s="194">
        <f t="shared" si="81"/>
        <v>21240</v>
      </c>
      <c r="S92" s="194">
        <f t="shared" si="81"/>
        <v>23600</v>
      </c>
      <c r="T92" s="194">
        <f t="shared" si="81"/>
        <v>25520</v>
      </c>
      <c r="U92" s="194">
        <f t="shared" si="81"/>
        <v>27400</v>
      </c>
      <c r="V92" s="194">
        <f t="shared" si="81"/>
        <v>29280</v>
      </c>
      <c r="W92" s="194">
        <f t="shared" si="81"/>
        <v>31160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16760</v>
      </c>
      <c r="F93" s="299">
        <f t="shared" si="84"/>
        <v>19160</v>
      </c>
      <c r="G93" s="299">
        <f t="shared" si="84"/>
        <v>21560</v>
      </c>
      <c r="H93" s="299">
        <f t="shared" si="84"/>
        <v>23920</v>
      </c>
      <c r="I93" s="299">
        <f t="shared" si="84"/>
        <v>25840</v>
      </c>
      <c r="J93" s="299">
        <f t="shared" si="84"/>
        <v>27760</v>
      </c>
      <c r="K93" s="299">
        <f t="shared" si="84"/>
        <v>29680</v>
      </c>
      <c r="L93" s="299">
        <f t="shared" si="84"/>
        <v>31600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16760</v>
      </c>
      <c r="F94" s="298">
        <f t="shared" si="85"/>
        <v>19160</v>
      </c>
      <c r="G94" s="298">
        <f t="shared" si="85"/>
        <v>21560</v>
      </c>
      <c r="H94" s="298">
        <f t="shared" si="85"/>
        <v>23920</v>
      </c>
      <c r="I94" s="298">
        <f t="shared" si="85"/>
        <v>25840</v>
      </c>
      <c r="J94" s="298">
        <f t="shared" si="85"/>
        <v>27760</v>
      </c>
      <c r="K94" s="298">
        <f t="shared" si="85"/>
        <v>29680</v>
      </c>
      <c r="L94" s="298">
        <f t="shared" si="85"/>
        <v>31600</v>
      </c>
      <c r="N94" s="168" t="s">
        <v>2105</v>
      </c>
      <c r="P94" s="194">
        <f t="shared" ref="P94:W94" si="86">+P118/5*4</f>
        <v>16760</v>
      </c>
      <c r="Q94" s="194">
        <f t="shared" si="86"/>
        <v>19160</v>
      </c>
      <c r="R94" s="194">
        <f t="shared" si="86"/>
        <v>21560</v>
      </c>
      <c r="S94" s="194">
        <f t="shared" si="86"/>
        <v>23920</v>
      </c>
      <c r="T94" s="194">
        <f t="shared" si="86"/>
        <v>25840</v>
      </c>
      <c r="U94" s="194">
        <f t="shared" si="86"/>
        <v>27760</v>
      </c>
      <c r="V94" s="194">
        <f t="shared" si="86"/>
        <v>29680</v>
      </c>
      <c r="W94" s="194">
        <f t="shared" si="86"/>
        <v>31600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17280</v>
      </c>
      <c r="F95" s="299">
        <f t="shared" si="89"/>
        <v>19760</v>
      </c>
      <c r="G95" s="299">
        <f t="shared" si="89"/>
        <v>22240</v>
      </c>
      <c r="H95" s="299">
        <f t="shared" si="89"/>
        <v>24680</v>
      </c>
      <c r="I95" s="299">
        <f t="shared" si="89"/>
        <v>26680</v>
      </c>
      <c r="J95" s="299">
        <f t="shared" si="89"/>
        <v>28640</v>
      </c>
      <c r="K95" s="299">
        <f t="shared" si="89"/>
        <v>30640</v>
      </c>
      <c r="L95" s="299">
        <f t="shared" si="89"/>
        <v>32600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17280</v>
      </c>
      <c r="F96" s="298">
        <f t="shared" si="90"/>
        <v>19760</v>
      </c>
      <c r="G96" s="298">
        <f t="shared" si="90"/>
        <v>22240</v>
      </c>
      <c r="H96" s="298">
        <f t="shared" si="90"/>
        <v>24680</v>
      </c>
      <c r="I96" s="298">
        <f t="shared" si="90"/>
        <v>26680</v>
      </c>
      <c r="J96" s="298">
        <f t="shared" si="90"/>
        <v>28640</v>
      </c>
      <c r="K96" s="298">
        <f t="shared" si="90"/>
        <v>30640</v>
      </c>
      <c r="L96" s="298">
        <f t="shared" si="90"/>
        <v>32600</v>
      </c>
      <c r="M96" s="6"/>
      <c r="N96" s="168" t="s">
        <v>2123</v>
      </c>
      <c r="O96" s="6"/>
      <c r="P96" s="194">
        <f t="shared" ref="P96:W96" si="91">+P120/5*4</f>
        <v>17280</v>
      </c>
      <c r="Q96" s="194">
        <f t="shared" si="91"/>
        <v>19760</v>
      </c>
      <c r="R96" s="194">
        <f t="shared" si="91"/>
        <v>22240</v>
      </c>
      <c r="S96" s="194">
        <f t="shared" si="91"/>
        <v>24680</v>
      </c>
      <c r="T96" s="194">
        <f t="shared" si="91"/>
        <v>26680</v>
      </c>
      <c r="U96" s="194">
        <f t="shared" si="91"/>
        <v>28640</v>
      </c>
      <c r="V96" s="194">
        <f t="shared" si="91"/>
        <v>30640</v>
      </c>
      <c r="W96" s="194">
        <f t="shared" si="91"/>
        <v>32600</v>
      </c>
      <c r="X96" s="6"/>
      <c r="Y96" s="194">
        <f t="shared" ref="Y96:AF96" si="92">+Y120/5*4</f>
        <v>0</v>
      </c>
      <c r="Z96" s="194">
        <f t="shared" si="92"/>
        <v>0</v>
      </c>
      <c r="AA96" s="194">
        <f t="shared" si="92"/>
        <v>0</v>
      </c>
      <c r="AB96" s="194">
        <f t="shared" si="92"/>
        <v>0</v>
      </c>
      <c r="AC96" s="194">
        <f t="shared" si="92"/>
        <v>0</v>
      </c>
      <c r="AD96" s="194">
        <f t="shared" si="92"/>
        <v>0</v>
      </c>
      <c r="AE96" s="194">
        <f t="shared" si="92"/>
        <v>0</v>
      </c>
      <c r="AF96" s="194">
        <f t="shared" si="92"/>
        <v>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17280</v>
      </c>
      <c r="F97" s="299">
        <f t="shared" si="95"/>
        <v>19760</v>
      </c>
      <c r="G97" s="299">
        <f t="shared" si="95"/>
        <v>22240</v>
      </c>
      <c r="H97" s="299">
        <f t="shared" si="95"/>
        <v>24680</v>
      </c>
      <c r="I97" s="299">
        <f t="shared" si="95"/>
        <v>26680</v>
      </c>
      <c r="J97" s="299">
        <f t="shared" si="95"/>
        <v>28640</v>
      </c>
      <c r="K97" s="299">
        <f t="shared" si="95"/>
        <v>30640</v>
      </c>
      <c r="L97" s="299">
        <f t="shared" si="95"/>
        <v>32600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17280</v>
      </c>
      <c r="F98" s="298">
        <f t="shared" si="96"/>
        <v>19760</v>
      </c>
      <c r="G98" s="298">
        <f t="shared" si="96"/>
        <v>22240</v>
      </c>
      <c r="H98" s="298">
        <f t="shared" si="96"/>
        <v>24680</v>
      </c>
      <c r="I98" s="298">
        <f t="shared" si="96"/>
        <v>26680</v>
      </c>
      <c r="J98" s="298">
        <f t="shared" si="96"/>
        <v>28640</v>
      </c>
      <c r="K98" s="298">
        <f t="shared" si="96"/>
        <v>30640</v>
      </c>
      <c r="L98" s="298">
        <f t="shared" si="96"/>
        <v>32600</v>
      </c>
      <c r="M98" s="6"/>
      <c r="N98" s="95" t="s">
        <v>2187</v>
      </c>
      <c r="O98" s="6"/>
      <c r="P98" s="194">
        <f t="shared" ref="P98:W98" si="97">+P122/5*4</f>
        <v>16440</v>
      </c>
      <c r="Q98" s="194">
        <f t="shared" si="97"/>
        <v>18800</v>
      </c>
      <c r="R98" s="194">
        <f t="shared" si="97"/>
        <v>21160</v>
      </c>
      <c r="S98" s="194">
        <f t="shared" si="97"/>
        <v>23480</v>
      </c>
      <c r="T98" s="194">
        <f t="shared" si="97"/>
        <v>25360</v>
      </c>
      <c r="U98" s="194">
        <f t="shared" si="97"/>
        <v>27240</v>
      </c>
      <c r="V98" s="194">
        <f t="shared" si="97"/>
        <v>29120</v>
      </c>
      <c r="W98" s="194">
        <f t="shared" si="97"/>
        <v>31000</v>
      </c>
      <c r="X98" s="6"/>
      <c r="Y98" s="194">
        <f t="shared" ref="Y98:AF98" si="98">+Y122/5*4</f>
        <v>17280</v>
      </c>
      <c r="Z98" s="194">
        <f t="shared" si="98"/>
        <v>19760</v>
      </c>
      <c r="AA98" s="194">
        <f t="shared" si="98"/>
        <v>22240</v>
      </c>
      <c r="AB98" s="194">
        <f t="shared" si="98"/>
        <v>24680</v>
      </c>
      <c r="AC98" s="194">
        <f t="shared" si="98"/>
        <v>26680</v>
      </c>
      <c r="AD98" s="194">
        <f t="shared" si="98"/>
        <v>28640</v>
      </c>
      <c r="AE98" s="194">
        <f t="shared" si="98"/>
        <v>30640</v>
      </c>
      <c r="AF98" s="194">
        <f t="shared" si="98"/>
        <v>32600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17560</v>
      </c>
      <c r="F99" s="299">
        <f t="shared" ref="F99:L99" si="100">+MAX(F98,F100)</f>
        <v>20040</v>
      </c>
      <c r="G99" s="299">
        <f t="shared" si="100"/>
        <v>22560</v>
      </c>
      <c r="H99" s="299">
        <f t="shared" si="100"/>
        <v>25040</v>
      </c>
      <c r="I99" s="299">
        <f t="shared" si="100"/>
        <v>27080</v>
      </c>
      <c r="J99" s="299">
        <f t="shared" si="100"/>
        <v>29080</v>
      </c>
      <c r="K99" s="299">
        <f t="shared" si="100"/>
        <v>31080</v>
      </c>
      <c r="L99" s="299">
        <f t="shared" si="100"/>
        <v>33080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17560</v>
      </c>
      <c r="F100" s="300">
        <f t="shared" si="102"/>
        <v>20040</v>
      </c>
      <c r="G100" s="300">
        <f t="shared" si="102"/>
        <v>22560</v>
      </c>
      <c r="H100" s="300">
        <f t="shared" si="102"/>
        <v>25040</v>
      </c>
      <c r="I100" s="300">
        <f t="shared" si="102"/>
        <v>27080</v>
      </c>
      <c r="J100" s="300">
        <f t="shared" si="102"/>
        <v>29080</v>
      </c>
      <c r="K100" s="300">
        <f t="shared" si="102"/>
        <v>31080</v>
      </c>
      <c r="L100" s="300">
        <f t="shared" si="102"/>
        <v>33080</v>
      </c>
      <c r="N100" s="95" t="s">
        <v>2226</v>
      </c>
      <c r="P100" s="194">
        <f t="shared" ref="P100:W100" si="103">+P124/5*4</f>
        <v>17400</v>
      </c>
      <c r="Q100" s="194">
        <f t="shared" si="103"/>
        <v>19880</v>
      </c>
      <c r="R100" s="194">
        <f t="shared" si="103"/>
        <v>22360</v>
      </c>
      <c r="S100" s="194">
        <f t="shared" si="103"/>
        <v>24840</v>
      </c>
      <c r="T100" s="194">
        <f t="shared" si="103"/>
        <v>26840</v>
      </c>
      <c r="U100" s="194">
        <f t="shared" si="103"/>
        <v>28840</v>
      </c>
      <c r="V100" s="194">
        <f t="shared" si="103"/>
        <v>30840</v>
      </c>
      <c r="W100" s="194">
        <f t="shared" si="103"/>
        <v>32800</v>
      </c>
      <c r="Y100" s="194">
        <f t="shared" ref="Y100:AF100" si="104">+Y124/5*4</f>
        <v>17560</v>
      </c>
      <c r="Z100" s="194">
        <f t="shared" si="104"/>
        <v>20040</v>
      </c>
      <c r="AA100" s="194">
        <f t="shared" si="104"/>
        <v>22560</v>
      </c>
      <c r="AB100" s="194">
        <f t="shared" si="104"/>
        <v>25040</v>
      </c>
      <c r="AC100" s="194">
        <f t="shared" si="104"/>
        <v>27080</v>
      </c>
      <c r="AD100" s="194">
        <f t="shared" si="104"/>
        <v>29080</v>
      </c>
      <c r="AE100" s="194">
        <f t="shared" si="104"/>
        <v>31080</v>
      </c>
      <c r="AF100" s="194">
        <f t="shared" si="104"/>
        <v>33080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17560</v>
      </c>
      <c r="F101" s="299">
        <f t="shared" ref="F101:L101" si="106">+MAX(F100,F102)</f>
        <v>20040</v>
      </c>
      <c r="G101" s="299">
        <f t="shared" si="106"/>
        <v>22560</v>
      </c>
      <c r="H101" s="299">
        <f t="shared" si="106"/>
        <v>25040</v>
      </c>
      <c r="I101" s="299">
        <f t="shared" si="106"/>
        <v>27080</v>
      </c>
      <c r="J101" s="299">
        <f t="shared" si="106"/>
        <v>29080</v>
      </c>
      <c r="K101" s="299">
        <f t="shared" si="106"/>
        <v>31080</v>
      </c>
      <c r="L101" s="299">
        <f t="shared" si="106"/>
        <v>33080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17560</v>
      </c>
      <c r="F102" s="300">
        <f t="shared" si="107"/>
        <v>20040</v>
      </c>
      <c r="G102" s="300">
        <f t="shared" si="107"/>
        <v>22560</v>
      </c>
      <c r="H102" s="300">
        <f t="shared" si="107"/>
        <v>25040</v>
      </c>
      <c r="I102" s="300">
        <f t="shared" si="107"/>
        <v>27080</v>
      </c>
      <c r="J102" s="300">
        <f t="shared" si="107"/>
        <v>29080</v>
      </c>
      <c r="K102" s="300">
        <f t="shared" si="107"/>
        <v>31080</v>
      </c>
      <c r="L102" s="300">
        <f t="shared" si="107"/>
        <v>33080</v>
      </c>
      <c r="N102" s="95" t="s">
        <v>2266</v>
      </c>
      <c r="P102" s="194">
        <f t="shared" ref="P102:W102" si="108">+P126*0.8</f>
        <v>16520</v>
      </c>
      <c r="Q102" s="194">
        <f t="shared" si="108"/>
        <v>18880</v>
      </c>
      <c r="R102" s="194">
        <f t="shared" si="108"/>
        <v>21240</v>
      </c>
      <c r="S102" s="194">
        <f t="shared" si="108"/>
        <v>23600</v>
      </c>
      <c r="T102" s="194">
        <f t="shared" si="108"/>
        <v>25520</v>
      </c>
      <c r="U102" s="194">
        <f t="shared" si="108"/>
        <v>27400</v>
      </c>
      <c r="V102" s="194">
        <f t="shared" si="108"/>
        <v>29280</v>
      </c>
      <c r="W102" s="194">
        <f t="shared" si="108"/>
        <v>31160</v>
      </c>
      <c r="Y102" s="194">
        <f t="shared" ref="Y102:AF102" si="109">+Y126*0.8</f>
        <v>17560</v>
      </c>
      <c r="Z102" s="194">
        <f t="shared" si="109"/>
        <v>20040</v>
      </c>
      <c r="AA102" s="194">
        <f t="shared" si="109"/>
        <v>22560</v>
      </c>
      <c r="AB102" s="194">
        <f t="shared" si="109"/>
        <v>25040</v>
      </c>
      <c r="AC102" s="194">
        <f t="shared" si="109"/>
        <v>27080</v>
      </c>
      <c r="AD102" s="194">
        <f t="shared" si="109"/>
        <v>29080</v>
      </c>
      <c r="AE102" s="194">
        <f t="shared" si="109"/>
        <v>31080</v>
      </c>
      <c r="AF102" s="194">
        <f t="shared" si="109"/>
        <v>33080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18680</v>
      </c>
      <c r="F103" s="299">
        <f t="shared" ref="F103:L105" si="111">+MAX(F102,F104)</f>
        <v>21360</v>
      </c>
      <c r="G103" s="299">
        <f t="shared" si="111"/>
        <v>24040</v>
      </c>
      <c r="H103" s="299">
        <f t="shared" si="111"/>
        <v>26680</v>
      </c>
      <c r="I103" s="299">
        <f t="shared" si="111"/>
        <v>28840</v>
      </c>
      <c r="J103" s="299">
        <f t="shared" si="111"/>
        <v>30960</v>
      </c>
      <c r="K103" s="299">
        <f t="shared" si="111"/>
        <v>33120</v>
      </c>
      <c r="L103" s="299">
        <f t="shared" si="111"/>
        <v>35240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18680</v>
      </c>
      <c r="F104" s="301">
        <f t="shared" si="112"/>
        <v>21360</v>
      </c>
      <c r="G104" s="301">
        <f t="shared" si="112"/>
        <v>24040</v>
      </c>
      <c r="H104" s="301">
        <f t="shared" si="112"/>
        <v>26680</v>
      </c>
      <c r="I104" s="301">
        <f t="shared" si="112"/>
        <v>28840</v>
      </c>
      <c r="J104" s="301">
        <f t="shared" si="112"/>
        <v>30960</v>
      </c>
      <c r="K104" s="301">
        <f t="shared" si="112"/>
        <v>33120</v>
      </c>
      <c r="L104" s="301">
        <f t="shared" si="112"/>
        <v>35240</v>
      </c>
      <c r="M104" s="207"/>
      <c r="N104" s="218" t="s">
        <v>2379</v>
      </c>
      <c r="O104" s="207"/>
      <c r="P104" s="197">
        <f t="shared" ref="P104:W104" si="113">+P128*0.8</f>
        <v>17680</v>
      </c>
      <c r="Q104" s="197">
        <f t="shared" si="113"/>
        <v>20200</v>
      </c>
      <c r="R104" s="197">
        <f t="shared" si="113"/>
        <v>22720</v>
      </c>
      <c r="S104" s="197">
        <f t="shared" si="113"/>
        <v>25240</v>
      </c>
      <c r="T104" s="197">
        <f t="shared" si="113"/>
        <v>27280</v>
      </c>
      <c r="U104" s="197">
        <f t="shared" si="113"/>
        <v>29280</v>
      </c>
      <c r="V104" s="197">
        <f t="shared" si="113"/>
        <v>31320</v>
      </c>
      <c r="W104" s="197">
        <f t="shared" si="113"/>
        <v>33320</v>
      </c>
      <c r="X104" s="207"/>
      <c r="Y104" s="197">
        <f t="shared" ref="Y104:AF104" si="114">+Y128*0.8</f>
        <v>18680</v>
      </c>
      <c r="Z104" s="197">
        <f t="shared" si="114"/>
        <v>21360</v>
      </c>
      <c r="AA104" s="197">
        <f t="shared" si="114"/>
        <v>24040</v>
      </c>
      <c r="AB104" s="197">
        <f t="shared" si="114"/>
        <v>26680</v>
      </c>
      <c r="AC104" s="197">
        <f t="shared" si="114"/>
        <v>28840</v>
      </c>
      <c r="AD104" s="197">
        <f t="shared" si="114"/>
        <v>30960</v>
      </c>
      <c r="AE104" s="197">
        <f t="shared" si="114"/>
        <v>33120</v>
      </c>
      <c r="AF104" s="197">
        <f t="shared" si="114"/>
        <v>35240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18680</v>
      </c>
      <c r="F105" s="299">
        <f t="shared" si="111"/>
        <v>21360</v>
      </c>
      <c r="G105" s="299">
        <f t="shared" si="111"/>
        <v>24040</v>
      </c>
      <c r="H105" s="299">
        <f t="shared" si="111"/>
        <v>26680</v>
      </c>
      <c r="I105" s="299">
        <f t="shared" si="111"/>
        <v>28840</v>
      </c>
      <c r="J105" s="299">
        <f t="shared" si="111"/>
        <v>30960</v>
      </c>
      <c r="K105" s="299">
        <f t="shared" si="111"/>
        <v>33120</v>
      </c>
      <c r="L105" s="299">
        <f t="shared" si="111"/>
        <v>35240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18680</v>
      </c>
      <c r="F106" s="301">
        <f t="shared" si="116"/>
        <v>21360</v>
      </c>
      <c r="G106" s="301">
        <f t="shared" si="116"/>
        <v>24040</v>
      </c>
      <c r="H106" s="301">
        <f t="shared" si="116"/>
        <v>26680</v>
      </c>
      <c r="I106" s="301">
        <f t="shared" si="116"/>
        <v>28840</v>
      </c>
      <c r="J106" s="301">
        <f t="shared" si="116"/>
        <v>30960</v>
      </c>
      <c r="K106" s="301">
        <f t="shared" si="116"/>
        <v>33120</v>
      </c>
      <c r="L106" s="301">
        <f t="shared" si="116"/>
        <v>35240</v>
      </c>
      <c r="M106" s="207"/>
      <c r="N106" s="218" t="s">
        <v>3004</v>
      </c>
      <c r="O106" s="207"/>
      <c r="P106" s="197">
        <f t="shared" ref="P106:W106" si="117">P130*0.8</f>
        <v>18280</v>
      </c>
      <c r="Q106" s="197">
        <f t="shared" si="117"/>
        <v>20880</v>
      </c>
      <c r="R106" s="197">
        <f t="shared" si="117"/>
        <v>23480</v>
      </c>
      <c r="S106" s="197">
        <f t="shared" si="117"/>
        <v>26080</v>
      </c>
      <c r="T106" s="197">
        <f t="shared" si="117"/>
        <v>28200</v>
      </c>
      <c r="U106" s="197">
        <f t="shared" si="117"/>
        <v>30280</v>
      </c>
      <c r="V106" s="197">
        <f t="shared" si="117"/>
        <v>32360</v>
      </c>
      <c r="W106" s="197">
        <f t="shared" si="117"/>
        <v>34440</v>
      </c>
      <c r="X106" s="207"/>
      <c r="Y106" s="197">
        <f t="shared" ref="Y106:AF106" si="118">+Y130*0.8</f>
        <v>18680</v>
      </c>
      <c r="Z106" s="197">
        <f t="shared" si="118"/>
        <v>21360</v>
      </c>
      <c r="AA106" s="197">
        <f t="shared" si="118"/>
        <v>24040</v>
      </c>
      <c r="AB106" s="197">
        <f t="shared" si="118"/>
        <v>26680</v>
      </c>
      <c r="AC106" s="197">
        <f t="shared" si="118"/>
        <v>28840</v>
      </c>
      <c r="AD106" s="197">
        <f t="shared" si="118"/>
        <v>30960</v>
      </c>
      <c r="AE106" s="197">
        <f t="shared" si="118"/>
        <v>33120</v>
      </c>
      <c r="AF106" s="197">
        <f t="shared" si="118"/>
        <v>35240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18920</v>
      </c>
      <c r="F107" s="299">
        <f t="shared" ref="F107:L107" si="120">+MAX(F106,F108)</f>
        <v>21600</v>
      </c>
      <c r="G107" s="299">
        <f t="shared" si="120"/>
        <v>24320</v>
      </c>
      <c r="H107" s="299">
        <f t="shared" si="120"/>
        <v>27000</v>
      </c>
      <c r="I107" s="299">
        <f t="shared" si="120"/>
        <v>29160</v>
      </c>
      <c r="J107" s="299">
        <f t="shared" si="120"/>
        <v>31320</v>
      </c>
      <c r="K107" s="299">
        <f t="shared" si="120"/>
        <v>33480</v>
      </c>
      <c r="L107" s="299">
        <f t="shared" si="120"/>
        <v>35640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18920</v>
      </c>
      <c r="F108" s="301">
        <f t="shared" ref="F108:L108" si="122">+MAX(Q108,Z108,AJ108)</f>
        <v>21600</v>
      </c>
      <c r="G108" s="301">
        <f t="shared" si="122"/>
        <v>24320</v>
      </c>
      <c r="H108" s="301">
        <f t="shared" si="122"/>
        <v>27000</v>
      </c>
      <c r="I108" s="301">
        <f t="shared" si="122"/>
        <v>29160</v>
      </c>
      <c r="J108" s="301">
        <f t="shared" si="122"/>
        <v>31320</v>
      </c>
      <c r="K108" s="301">
        <f t="shared" si="122"/>
        <v>33480</v>
      </c>
      <c r="L108" s="301">
        <f t="shared" si="122"/>
        <v>35640</v>
      </c>
      <c r="M108" s="207"/>
      <c r="N108" s="218" t="s">
        <v>2968</v>
      </c>
      <c r="O108" s="207"/>
      <c r="P108" s="197">
        <f>P132*0.8</f>
        <v>18920</v>
      </c>
      <c r="Q108" s="197">
        <f t="shared" ref="Q108:W108" si="123">Q132*0.8</f>
        <v>21600</v>
      </c>
      <c r="R108" s="197">
        <f t="shared" si="123"/>
        <v>24320</v>
      </c>
      <c r="S108" s="197">
        <f t="shared" si="123"/>
        <v>27000</v>
      </c>
      <c r="T108" s="197">
        <f t="shared" si="123"/>
        <v>29160</v>
      </c>
      <c r="U108" s="197">
        <f t="shared" si="123"/>
        <v>31320</v>
      </c>
      <c r="V108" s="197">
        <f t="shared" si="123"/>
        <v>33480</v>
      </c>
      <c r="W108" s="197">
        <f t="shared" si="123"/>
        <v>35640</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20250</v>
      </c>
      <c r="F111" s="298">
        <f t="shared" si="128"/>
        <v>23150</v>
      </c>
      <c r="G111" s="298">
        <f t="shared" si="128"/>
        <v>26050</v>
      </c>
      <c r="H111" s="298">
        <f t="shared" si="128"/>
        <v>28950</v>
      </c>
      <c r="I111" s="298">
        <f t="shared" si="128"/>
        <v>31250</v>
      </c>
      <c r="J111" s="298">
        <f t="shared" si="128"/>
        <v>33600</v>
      </c>
      <c r="K111" s="298">
        <f t="shared" si="128"/>
        <v>35900</v>
      </c>
      <c r="L111" s="298">
        <f t="shared" si="128"/>
        <v>38200</v>
      </c>
      <c r="N111" s="91" t="str">
        <f>CONCATENATE($AU$10,$B$11,N110)</f>
        <v>Before 12-31-2008Grayson50</v>
      </c>
      <c r="P111" s="197">
        <f>VLOOKUP($N111,'pre 12-31-08'!$A$4:$L$1400,E$110+3,FALSE)</f>
        <v>20250</v>
      </c>
      <c r="Q111" s="197">
        <f>VLOOKUP($N111,'pre 12-31-08'!$A$4:$L$1400,F$110+3,FALSE)</f>
        <v>23150</v>
      </c>
      <c r="R111" s="197">
        <f>VLOOKUP($N111,'pre 12-31-08'!$A$4:$L$1400,G$110+3,FALSE)</f>
        <v>26050</v>
      </c>
      <c r="S111" s="197">
        <f>VLOOKUP($N111,'pre 12-31-08'!$A$4:$L$1400,H$110+3,FALSE)</f>
        <v>28950</v>
      </c>
      <c r="T111" s="197">
        <f>VLOOKUP($N111,'pre 12-31-08'!$A$4:$L$1400,I$110+3,FALSE)</f>
        <v>31250</v>
      </c>
      <c r="U111" s="197">
        <f>VLOOKUP($N111,'pre 12-31-08'!$A$4:$L$1400,J$110+3,FALSE)</f>
        <v>33600</v>
      </c>
      <c r="V111" s="197">
        <f>VLOOKUP($N111,'pre 12-31-08'!$A$4:$L$1400,K$110+3,FALSE)</f>
        <v>35900</v>
      </c>
      <c r="W111" s="197">
        <f>VLOOKUP($N111,'pre 12-31-08'!$A$4:$L$1400,L$110+3,FALSE)</f>
        <v>38200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20200</v>
      </c>
      <c r="F112" s="298">
        <f t="shared" si="128"/>
        <v>23050</v>
      </c>
      <c r="G112" s="298">
        <f t="shared" si="128"/>
        <v>25950</v>
      </c>
      <c r="H112" s="298">
        <f t="shared" si="128"/>
        <v>28800</v>
      </c>
      <c r="I112" s="298">
        <f t="shared" si="128"/>
        <v>31150</v>
      </c>
      <c r="J112" s="298">
        <f t="shared" si="128"/>
        <v>33450</v>
      </c>
      <c r="K112" s="298">
        <f t="shared" si="128"/>
        <v>35750</v>
      </c>
      <c r="L112" s="298">
        <f t="shared" si="128"/>
        <v>38050</v>
      </c>
      <c r="N112" s="91" t="str">
        <f>CONCATENATE($AU$11,$B$11,N110)</f>
        <v>1/1/2009 - 5/13/2010Grayson50</v>
      </c>
      <c r="P112" s="197">
        <f>VLOOKUP($N112,'1-1-09-5-14-10'!$A$4:$L$1400,E$110+3,FALSE)</f>
        <v>20200</v>
      </c>
      <c r="Q112" s="197">
        <f>VLOOKUP($N112,'1-1-09-5-14-10'!$A$4:$L$1400,F$110+3,FALSE)</f>
        <v>23050</v>
      </c>
      <c r="R112" s="197">
        <f>VLOOKUP($N112,'1-1-09-5-14-10'!$A$4:$L$1400,G$110+3,FALSE)</f>
        <v>25950</v>
      </c>
      <c r="S112" s="197">
        <f>VLOOKUP($N112,'1-1-09-5-14-10'!$A$4:$L$1400,H$110+3,FALSE)</f>
        <v>28800</v>
      </c>
      <c r="T112" s="197">
        <f>VLOOKUP($N112,'1-1-09-5-14-10'!$A$4:$L$1400,I$110+3,FALSE)</f>
        <v>31150</v>
      </c>
      <c r="U112" s="197">
        <f>VLOOKUP($N112,'1-1-09-5-14-10'!$A$4:$L$1400,J$110+3,FALSE)</f>
        <v>33450</v>
      </c>
      <c r="V112" s="197">
        <f>VLOOKUP($N112,'1-1-09-5-14-10'!$A$4:$L$1400,K$110+3,FALSE)</f>
        <v>35750</v>
      </c>
      <c r="W112" s="197">
        <f>VLOOKUP($N112,'1-1-09-5-14-10'!$A$4:$L$1400,L$110+3,FALSE)</f>
        <v>38050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20200</v>
      </c>
      <c r="F113" s="299">
        <f t="shared" si="130"/>
        <v>23050</v>
      </c>
      <c r="G113" s="299">
        <f t="shared" si="130"/>
        <v>25950</v>
      </c>
      <c r="H113" s="299">
        <f t="shared" si="130"/>
        <v>28800</v>
      </c>
      <c r="I113" s="299">
        <f t="shared" si="130"/>
        <v>31150</v>
      </c>
      <c r="J113" s="299">
        <f t="shared" si="130"/>
        <v>33450</v>
      </c>
      <c r="K113" s="299">
        <f t="shared" si="130"/>
        <v>35750</v>
      </c>
      <c r="L113" s="299">
        <f t="shared" si="130"/>
        <v>38050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20200</v>
      </c>
      <c r="F114" s="298">
        <f t="shared" si="131"/>
        <v>23050</v>
      </c>
      <c r="G114" s="298">
        <f t="shared" si="131"/>
        <v>25950</v>
      </c>
      <c r="H114" s="298">
        <f t="shared" si="131"/>
        <v>28800</v>
      </c>
      <c r="I114" s="298">
        <f t="shared" si="131"/>
        <v>31150</v>
      </c>
      <c r="J114" s="298">
        <f t="shared" si="131"/>
        <v>33450</v>
      </c>
      <c r="K114" s="298">
        <f t="shared" si="131"/>
        <v>35750</v>
      </c>
      <c r="L114" s="298">
        <f t="shared" si="131"/>
        <v>38050</v>
      </c>
      <c r="N114" s="91" t="str">
        <f>CONCATENATE($AU$13,$B$11,N110)</f>
        <v>6/29/2010 - 5/30/2011Grayson50</v>
      </c>
      <c r="P114" s="197">
        <f>VLOOKUP($N114,'5-14-10-5-31-11'!$A$4:$L$1400,E$110+3,FALSE)</f>
        <v>20200</v>
      </c>
      <c r="Q114" s="197">
        <f>VLOOKUP($N114,'5-14-10-5-31-11'!$A$4:$L$1400,F$110+3,FALSE)</f>
        <v>23050</v>
      </c>
      <c r="R114" s="197">
        <f>VLOOKUP($N114,'5-14-10-5-31-11'!$A$4:$L$1400,G$110+3,FALSE)</f>
        <v>25950</v>
      </c>
      <c r="S114" s="197">
        <f>VLOOKUP($N114,'5-14-10-5-31-11'!$A$4:$L$1400,H$110+3,FALSE)</f>
        <v>28800</v>
      </c>
      <c r="T114" s="197">
        <f>VLOOKUP($N114,'5-14-10-5-31-11'!$A$4:$L$1400,I$110+3,FALSE)</f>
        <v>31150</v>
      </c>
      <c r="U114" s="197">
        <f>VLOOKUP($N114,'5-14-10-5-31-11'!$A$4:$L$1400,J$110+3,FALSE)</f>
        <v>33450</v>
      </c>
      <c r="V114" s="197">
        <f>VLOOKUP($N114,'5-14-10-5-31-11'!$A$4:$L$1400,K$110+3,FALSE)</f>
        <v>35750</v>
      </c>
      <c r="W114" s="197">
        <f>VLOOKUP($N114,'5-14-10-5-31-11'!$A$4:$L$1400,L$110+3,FALSE)</f>
        <v>38050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20650</v>
      </c>
      <c r="F115" s="299">
        <f t="shared" si="132"/>
        <v>23600</v>
      </c>
      <c r="G115" s="299">
        <f t="shared" si="132"/>
        <v>26550</v>
      </c>
      <c r="H115" s="299">
        <f t="shared" si="132"/>
        <v>29500</v>
      </c>
      <c r="I115" s="299">
        <f t="shared" si="132"/>
        <v>31900</v>
      </c>
      <c r="J115" s="299">
        <f t="shared" si="132"/>
        <v>34250</v>
      </c>
      <c r="K115" s="299">
        <f t="shared" si="132"/>
        <v>36600</v>
      </c>
      <c r="L115" s="299">
        <f t="shared" si="132"/>
        <v>38950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20650</v>
      </c>
      <c r="F116" s="298">
        <f t="shared" si="133"/>
        <v>23600</v>
      </c>
      <c r="G116" s="298">
        <f t="shared" si="133"/>
        <v>26550</v>
      </c>
      <c r="H116" s="298">
        <f t="shared" si="133"/>
        <v>29500</v>
      </c>
      <c r="I116" s="298">
        <f t="shared" si="133"/>
        <v>31900</v>
      </c>
      <c r="J116" s="298">
        <f t="shared" si="133"/>
        <v>34250</v>
      </c>
      <c r="K116" s="298">
        <f t="shared" si="133"/>
        <v>36600</v>
      </c>
      <c r="L116" s="298">
        <f t="shared" si="133"/>
        <v>38950</v>
      </c>
      <c r="N116" s="91" t="str">
        <f>CONCATENATE(AU15,$B$11)</f>
        <v>7/16/2011 - 11/31/2011Grayson</v>
      </c>
      <c r="P116" s="197">
        <f>VLOOKUP($N116,'6-1-11'!$A$4:$L$257,E$110+4,FALSE)</f>
        <v>20650</v>
      </c>
      <c r="Q116" s="197">
        <f>VLOOKUP($N116,'6-1-11'!$A$4:$L$257,F$110+4,FALSE)</f>
        <v>23600</v>
      </c>
      <c r="R116" s="197">
        <f>VLOOKUP($N116,'6-1-11'!$A$4:$L$257,G$110+4,FALSE)</f>
        <v>26550</v>
      </c>
      <c r="S116" s="197">
        <f>VLOOKUP($N116,'6-1-11'!$A$4:$L$257,H$110+4,FALSE)</f>
        <v>29500</v>
      </c>
      <c r="T116" s="197">
        <f>VLOOKUP($N116,'6-1-11'!$A$4:$L$257,I$110+4,FALSE)</f>
        <v>31900</v>
      </c>
      <c r="U116" s="197">
        <f>VLOOKUP($N116,'6-1-11'!$A$4:$L$257,J$110+4,FALSE)</f>
        <v>34250</v>
      </c>
      <c r="V116" s="197">
        <f>VLOOKUP($N116,'6-1-11'!$A$4:$L$257,K$110+4,FALSE)</f>
        <v>36600</v>
      </c>
      <c r="W116" s="197">
        <f>VLOOKUP($N116,'6-1-11'!$A$4:$L$257,L$110+4,FALSE)</f>
        <v>38950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20950</v>
      </c>
      <c r="F117" s="299">
        <f t="shared" si="134"/>
        <v>23950</v>
      </c>
      <c r="G117" s="299">
        <f t="shared" si="134"/>
        <v>26950</v>
      </c>
      <c r="H117" s="299">
        <f t="shared" si="134"/>
        <v>29900</v>
      </c>
      <c r="I117" s="299">
        <f t="shared" si="134"/>
        <v>32300</v>
      </c>
      <c r="J117" s="299">
        <f t="shared" si="134"/>
        <v>34700</v>
      </c>
      <c r="K117" s="299">
        <f t="shared" si="134"/>
        <v>37100</v>
      </c>
      <c r="L117" s="299">
        <f t="shared" si="134"/>
        <v>39500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20950</v>
      </c>
      <c r="F118" s="298">
        <f t="shared" si="135"/>
        <v>23950</v>
      </c>
      <c r="G118" s="298">
        <f t="shared" si="135"/>
        <v>26950</v>
      </c>
      <c r="H118" s="298">
        <f t="shared" si="135"/>
        <v>29900</v>
      </c>
      <c r="I118" s="298">
        <f t="shared" si="135"/>
        <v>32300</v>
      </c>
      <c r="J118" s="298">
        <f t="shared" si="135"/>
        <v>34700</v>
      </c>
      <c r="K118" s="298">
        <f t="shared" si="135"/>
        <v>37100</v>
      </c>
      <c r="L118" s="298">
        <f t="shared" si="135"/>
        <v>39500</v>
      </c>
      <c r="M118" s="6"/>
      <c r="N118" s="91" t="str">
        <f>CONCATENATE(AU17,$B$11)</f>
        <v>1/16/2012 - 12/3/2012Grayson</v>
      </c>
      <c r="O118" s="6"/>
      <c r="P118" s="197">
        <f>VLOOKUP($N118,'12-1-11'!$A$4:$L$257,E$110+4,FALSE)</f>
        <v>20950</v>
      </c>
      <c r="Q118" s="197">
        <f>VLOOKUP($N118,'12-1-11'!$A$4:$L$257,F$110+4,FALSE)</f>
        <v>23950</v>
      </c>
      <c r="R118" s="197">
        <f>VLOOKUP($N118,'12-1-11'!$A$4:$L$257,G$110+4,FALSE)</f>
        <v>26950</v>
      </c>
      <c r="S118" s="197">
        <f>VLOOKUP($N118,'12-1-11'!$A$4:$L$257,H$110+4,FALSE)</f>
        <v>29900</v>
      </c>
      <c r="T118" s="197">
        <f>VLOOKUP($N118,'12-1-11'!$A$4:$L$257,I$110+4,FALSE)</f>
        <v>32300</v>
      </c>
      <c r="U118" s="197">
        <f>VLOOKUP($N118,'12-1-11'!$A$4:$L$257,J$110+4,FALSE)</f>
        <v>34700</v>
      </c>
      <c r="V118" s="197">
        <f>VLOOKUP($N118,'12-1-11'!$A$4:$L$257,K$110+4,FALSE)</f>
        <v>37100</v>
      </c>
      <c r="W118" s="197">
        <f>VLOOKUP($N118,'12-1-11'!$A$4:$L$257,L$110+4,FALSE)</f>
        <v>39500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21600</v>
      </c>
      <c r="F119" s="299">
        <f t="shared" si="136"/>
        <v>24700</v>
      </c>
      <c r="G119" s="299">
        <f t="shared" si="136"/>
        <v>27800</v>
      </c>
      <c r="H119" s="299">
        <f t="shared" si="136"/>
        <v>30850</v>
      </c>
      <c r="I119" s="299">
        <f t="shared" si="136"/>
        <v>33350</v>
      </c>
      <c r="J119" s="299">
        <f t="shared" si="136"/>
        <v>35800</v>
      </c>
      <c r="K119" s="299">
        <f t="shared" si="136"/>
        <v>38300</v>
      </c>
      <c r="L119" s="299">
        <f t="shared" si="136"/>
        <v>40750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21600</v>
      </c>
      <c r="F120" s="298">
        <f t="shared" si="137"/>
        <v>24700</v>
      </c>
      <c r="G120" s="298">
        <f t="shared" si="137"/>
        <v>27800</v>
      </c>
      <c r="H120" s="298">
        <f t="shared" si="137"/>
        <v>30850</v>
      </c>
      <c r="I120" s="298">
        <f t="shared" si="137"/>
        <v>33350</v>
      </c>
      <c r="J120" s="298">
        <f t="shared" si="137"/>
        <v>35800</v>
      </c>
      <c r="K120" s="298">
        <f t="shared" si="137"/>
        <v>38300</v>
      </c>
      <c r="L120" s="298">
        <f t="shared" si="137"/>
        <v>40750</v>
      </c>
      <c r="M120" s="6"/>
      <c r="N120" s="91" t="str">
        <f>CONCATENATE(AU19,$B$11)</f>
        <v>1/18/2013 - 12/17/2013Grayson</v>
      </c>
      <c r="O120" s="6"/>
      <c r="P120" s="197">
        <f>VLOOKUP($N120,'2013 placeholder'!$A$4:$L$257,E$110+4,FALSE)</f>
        <v>21600</v>
      </c>
      <c r="Q120" s="197">
        <f>VLOOKUP($N120,'2013 placeholder'!$A$4:$L$257,F$110+4,FALSE)</f>
        <v>24700</v>
      </c>
      <c r="R120" s="197">
        <f>VLOOKUP($N120,'2013 placeholder'!$A$4:$L$257,G$110+4,FALSE)</f>
        <v>27800</v>
      </c>
      <c r="S120" s="197">
        <f>VLOOKUP($N120,'2013 placeholder'!$A$4:$L$257,H$110+4,FALSE)</f>
        <v>30850</v>
      </c>
      <c r="T120" s="197">
        <f>VLOOKUP($N120,'2013 placeholder'!$A$4:$L$257,I$110+4,FALSE)</f>
        <v>33350</v>
      </c>
      <c r="U120" s="197">
        <f>VLOOKUP($N120,'2013 placeholder'!$A$4:$L$257,J$110+4,FALSE)</f>
        <v>35800</v>
      </c>
      <c r="V120" s="197">
        <f>VLOOKUP($N120,'2013 placeholder'!$A$4:$L$257,K$110+4,FALSE)</f>
        <v>38300</v>
      </c>
      <c r="W120" s="197">
        <f>VLOOKUP($N120,'2013 placeholder'!$A$4:$L$257,L$110+4,FALSE)</f>
        <v>40750</v>
      </c>
      <c r="X120" s="6"/>
      <c r="Y120" s="197">
        <f>IF($B$18=$AU$10,VLOOKUP($N120,'2013 placeholder'!$A$4:$AK$257,E$110+21,FALSE),0)</f>
        <v>0</v>
      </c>
      <c r="Z120" s="197">
        <f>IF($B$18=$AU$10,VLOOKUP($N120,'2013 placeholder'!$A$4:$AK$257,F$110+21,FALSE),0)</f>
        <v>0</v>
      </c>
      <c r="AA120" s="197">
        <f>IF($B$18=$AU$10,VLOOKUP($N120,'2013 placeholder'!$A$4:$AK$257,G$110+21,FALSE),0)</f>
        <v>0</v>
      </c>
      <c r="AB120" s="197">
        <f>IF($B$18=$AU$10,VLOOKUP($N120,'2013 placeholder'!$A$4:$AK$257,H$110+21,FALSE),0)</f>
        <v>0</v>
      </c>
      <c r="AC120" s="197">
        <f>IF($B$18=$AU$10,VLOOKUP($N120,'2013 placeholder'!$A$4:$AK$257,I$110+21,FALSE),0)</f>
        <v>0</v>
      </c>
      <c r="AD120" s="197">
        <f>IF($B$18=$AU$10,VLOOKUP($N120,'2013 placeholder'!$A$4:$AK$257,J$110+21,FALSE),0)</f>
        <v>0</v>
      </c>
      <c r="AE120" s="197">
        <f>IF($B$18=$AU$10,VLOOKUP($N120,'2013 placeholder'!$A$4:$AK$257,K$110+21,FALSE),0)</f>
        <v>0</v>
      </c>
      <c r="AF120" s="197">
        <f>IF($B$18=$AU$10,VLOOKUP($N120,'2013 placeholder'!$A$4:$AK$257,L$110+21,FALSE),0)</f>
        <v>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21600</v>
      </c>
      <c r="F121" s="299">
        <f t="shared" si="138"/>
        <v>24700</v>
      </c>
      <c r="G121" s="299">
        <f t="shared" si="138"/>
        <v>27800</v>
      </c>
      <c r="H121" s="299">
        <f t="shared" si="138"/>
        <v>30850</v>
      </c>
      <c r="I121" s="299">
        <f t="shared" si="138"/>
        <v>33350</v>
      </c>
      <c r="J121" s="299">
        <f t="shared" si="138"/>
        <v>35800</v>
      </c>
      <c r="K121" s="299">
        <f t="shared" si="138"/>
        <v>38300</v>
      </c>
      <c r="L121" s="299">
        <f t="shared" si="138"/>
        <v>40750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21600</v>
      </c>
      <c r="F122" s="298">
        <f t="shared" si="139"/>
        <v>24700</v>
      </c>
      <c r="G122" s="298">
        <f t="shared" si="139"/>
        <v>27800</v>
      </c>
      <c r="H122" s="298">
        <f t="shared" si="139"/>
        <v>30850</v>
      </c>
      <c r="I122" s="298">
        <f t="shared" si="139"/>
        <v>33350</v>
      </c>
      <c r="J122" s="298">
        <f t="shared" si="139"/>
        <v>35800</v>
      </c>
      <c r="K122" s="298">
        <f t="shared" si="139"/>
        <v>38300</v>
      </c>
      <c r="L122" s="298">
        <f t="shared" si="139"/>
        <v>40750</v>
      </c>
      <c r="N122" s="95" t="str">
        <f>CONCATENATE(AU21,$B$11)</f>
        <v>2/1/2014 - 3/5/2015Grayson</v>
      </c>
      <c r="P122" s="197">
        <f>VLOOKUP($N122,'2014 placeholder'!$A$4:$L$257,E$110+4,FALSE)</f>
        <v>20550</v>
      </c>
      <c r="Q122" s="197">
        <f>VLOOKUP($N122,'2014 placeholder'!$A$4:$L$257,F$110+4,FALSE)</f>
        <v>23500</v>
      </c>
      <c r="R122" s="197">
        <f>VLOOKUP($N122,'2014 placeholder'!$A$4:$L$257,G$110+4,FALSE)</f>
        <v>26450</v>
      </c>
      <c r="S122" s="197">
        <f>VLOOKUP($N122,'2014 placeholder'!$A$4:$L$257,H$110+4,FALSE)</f>
        <v>29350</v>
      </c>
      <c r="T122" s="197">
        <f>VLOOKUP($N122,'2014 placeholder'!$A$4:$L$257,I$110+4,FALSE)</f>
        <v>31700</v>
      </c>
      <c r="U122" s="197">
        <f>VLOOKUP($N122,'2014 placeholder'!$A$4:$L$257,J$110+4,FALSE)</f>
        <v>34050</v>
      </c>
      <c r="V122" s="197">
        <f>VLOOKUP($N122,'2014 placeholder'!$A$4:$L$257,K$110+4,FALSE)</f>
        <v>36400</v>
      </c>
      <c r="W122" s="197">
        <f>VLOOKUP($N122,'2014 placeholder'!$A$4:$L$257,L$110+4,FALSE)</f>
        <v>38750</v>
      </c>
      <c r="Y122" s="197">
        <f>IF($B$18=$AU$10,VLOOKUP($N122,'2014 placeholder'!$A$4:$AK$257,E$110+21,FALSE),0)</f>
        <v>21600</v>
      </c>
      <c r="Z122" s="197">
        <f>IF($B$18=$AU$10,VLOOKUP($N122,'2014 placeholder'!$A$4:$AK$257,F$110+21,FALSE),0)</f>
        <v>24700</v>
      </c>
      <c r="AA122" s="197">
        <f>IF($B$18=$AU$10,VLOOKUP($N122,'2014 placeholder'!$A$4:$AK$257,G$110+21,FALSE),0)</f>
        <v>27800</v>
      </c>
      <c r="AB122" s="197">
        <f>IF($B$18=$AU$10,VLOOKUP($N122,'2014 placeholder'!$A$4:$AK$257,H$110+21,FALSE),0)</f>
        <v>30850</v>
      </c>
      <c r="AC122" s="197">
        <f>IF($B$18=$AU$10,VLOOKUP($N122,'2014 placeholder'!$A$4:$AK$257,I$110+21,FALSE),0)</f>
        <v>33350</v>
      </c>
      <c r="AD122" s="197">
        <f>IF($B$18=$AU$10,VLOOKUP($N122,'2014 placeholder'!$A$4:$AK$257,J$110+21,FALSE),0)</f>
        <v>35800</v>
      </c>
      <c r="AE122" s="197">
        <f>IF($B$18=$AU$10,VLOOKUP($N122,'2014 placeholder'!$A$4:$AK$257,K$110+21,FALSE),0)</f>
        <v>38300</v>
      </c>
      <c r="AF122" s="197">
        <f>IF($B$18=$AU$10,VLOOKUP($N122,'2014 placeholder'!$A$4:$AK$257,L$110+21,FALSE),0)</f>
        <v>40750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21950</v>
      </c>
      <c r="F123" s="299">
        <f t="shared" ref="F123:L123" si="140">+MAX(F122,F124)</f>
        <v>25050</v>
      </c>
      <c r="G123" s="299">
        <f t="shared" si="140"/>
        <v>28200</v>
      </c>
      <c r="H123" s="299">
        <f t="shared" si="140"/>
        <v>31300</v>
      </c>
      <c r="I123" s="299">
        <f t="shared" si="140"/>
        <v>33850</v>
      </c>
      <c r="J123" s="299">
        <f t="shared" si="140"/>
        <v>36350</v>
      </c>
      <c r="K123" s="299">
        <f t="shared" si="140"/>
        <v>38850</v>
      </c>
      <c r="L123" s="299">
        <f t="shared" si="140"/>
        <v>41350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21950</v>
      </c>
      <c r="F124" s="300">
        <f t="shared" si="141"/>
        <v>25050</v>
      </c>
      <c r="G124" s="300">
        <f t="shared" si="141"/>
        <v>28200</v>
      </c>
      <c r="H124" s="300">
        <f t="shared" si="141"/>
        <v>31300</v>
      </c>
      <c r="I124" s="300">
        <f t="shared" si="141"/>
        <v>33850</v>
      </c>
      <c r="J124" s="300">
        <f t="shared" si="141"/>
        <v>36350</v>
      </c>
      <c r="K124" s="300">
        <f t="shared" si="141"/>
        <v>38850</v>
      </c>
      <c r="L124" s="300">
        <f t="shared" si="141"/>
        <v>41350</v>
      </c>
      <c r="N124" s="95" t="str">
        <f>CONCATENATE(AU23,$B$11)</f>
        <v>4/21/2015 - 3/27/2016Grayson</v>
      </c>
      <c r="P124" s="197">
        <f>VLOOKUP($N124,'2015 MTSP Limits'!$A$4:$L$257,E$110+4,FALSE)</f>
        <v>21750</v>
      </c>
      <c r="Q124" s="197">
        <f>VLOOKUP($N124,'2015 MTSP Limits'!$A$4:$L$257,F$110+4,FALSE)</f>
        <v>24850</v>
      </c>
      <c r="R124" s="197">
        <f>VLOOKUP($N124,'2015 MTSP Limits'!$A$4:$L$257,G$110+4,FALSE)</f>
        <v>27950</v>
      </c>
      <c r="S124" s="197">
        <f>VLOOKUP($N124,'2015 MTSP Limits'!$A$4:$L$257,H$110+4,FALSE)</f>
        <v>31050</v>
      </c>
      <c r="T124" s="197">
        <f>VLOOKUP($N124,'2015 MTSP Limits'!$A$4:$L$257,I$110+4,FALSE)</f>
        <v>33550</v>
      </c>
      <c r="U124" s="197">
        <f>VLOOKUP($N124,'2015 MTSP Limits'!$A$4:$L$257,J$110+4,FALSE)</f>
        <v>36050</v>
      </c>
      <c r="V124" s="197">
        <f>VLOOKUP($N124,'2015 MTSP Limits'!$A$4:$L$257,K$110+4,FALSE)</f>
        <v>38550</v>
      </c>
      <c r="W124" s="197">
        <f>VLOOKUP($N124,'2015 MTSP Limits'!$A$4:$L$257,L$110+4,FALSE)</f>
        <v>41000</v>
      </c>
      <c r="Y124" s="197">
        <f>IF($B$18=$AU$10,VLOOKUP($N124,'2015 MTSP Limits'!$A$4:$AK$257,E$110+21,FALSE),0)</f>
        <v>21950</v>
      </c>
      <c r="Z124" s="197">
        <f>IF($B$18=$AU$10,VLOOKUP($N124,'2015 MTSP Limits'!$A$4:$AK$257,F$110+21,FALSE),0)</f>
        <v>25050</v>
      </c>
      <c r="AA124" s="197">
        <f>IF($B$18=$AU$10,VLOOKUP($N124,'2015 MTSP Limits'!$A$4:$AK$257,G$110+21,FALSE),0)</f>
        <v>28200</v>
      </c>
      <c r="AB124" s="197">
        <f>IF($B$18=$AU$10,VLOOKUP($N124,'2015 MTSP Limits'!$A$4:$AK$257,H$110+21,FALSE),0)</f>
        <v>31300</v>
      </c>
      <c r="AC124" s="197">
        <f>IF($B$18=$AU$10,VLOOKUP($N124,'2015 MTSP Limits'!$A$4:$AK$257,I$110+21,FALSE),0)</f>
        <v>33850</v>
      </c>
      <c r="AD124" s="197">
        <f>IF($B$18=$AU$10,VLOOKUP($N124,'2015 MTSP Limits'!$A$4:$AK$257,J$110+21,FALSE),0)</f>
        <v>36350</v>
      </c>
      <c r="AE124" s="197">
        <f>IF($B$18=$AU$10,VLOOKUP($N124,'2015 MTSP Limits'!$A$4:$AK$257,K$110+21,FALSE),0)</f>
        <v>38850</v>
      </c>
      <c r="AF124" s="197">
        <f>IF($B$18=$AU$10,VLOOKUP($N124,'2015 MTSP Limits'!$A$4:$AK$257,L$110+21,FALSE),0)</f>
        <v>41350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21950</v>
      </c>
      <c r="F125" s="299">
        <f t="shared" ref="F125:L125" si="142">+MAX(F124,F126)</f>
        <v>25050</v>
      </c>
      <c r="G125" s="299">
        <f t="shared" si="142"/>
        <v>28200</v>
      </c>
      <c r="H125" s="299">
        <f t="shared" si="142"/>
        <v>31300</v>
      </c>
      <c r="I125" s="299">
        <f t="shared" si="142"/>
        <v>33850</v>
      </c>
      <c r="J125" s="299">
        <f t="shared" si="142"/>
        <v>36350</v>
      </c>
      <c r="K125" s="299">
        <f t="shared" si="142"/>
        <v>38850</v>
      </c>
      <c r="L125" s="299">
        <f t="shared" si="142"/>
        <v>41350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21950</v>
      </c>
      <c r="F126" s="300">
        <f t="shared" si="144"/>
        <v>25050</v>
      </c>
      <c r="G126" s="300">
        <f t="shared" si="144"/>
        <v>28200</v>
      </c>
      <c r="H126" s="300">
        <f t="shared" si="144"/>
        <v>31300</v>
      </c>
      <c r="I126" s="300">
        <f t="shared" si="144"/>
        <v>33850</v>
      </c>
      <c r="J126" s="300">
        <f t="shared" si="144"/>
        <v>36350</v>
      </c>
      <c r="K126" s="300">
        <f t="shared" si="144"/>
        <v>38850</v>
      </c>
      <c r="L126" s="300">
        <f t="shared" si="144"/>
        <v>41350</v>
      </c>
      <c r="N126" s="95" t="str">
        <f>CONCATENATE(AU25,$B$11)</f>
        <v>5/13/2016 - 4/13/2017Grayson</v>
      </c>
      <c r="P126" s="197">
        <f>VLOOKUP($N126,MTSP2016!$A$4:$L$257,E$110+4,FALSE)</f>
        <v>20650</v>
      </c>
      <c r="Q126" s="197">
        <f>VLOOKUP($N126,MTSP2016!$A$4:$L$257,F$110+4,FALSE)</f>
        <v>23600</v>
      </c>
      <c r="R126" s="197">
        <f>VLOOKUP($N126,MTSP2016!$A$4:$L$257,G$110+4,FALSE)</f>
        <v>26550</v>
      </c>
      <c r="S126" s="197">
        <f>VLOOKUP($N126,MTSP2016!$A$4:$L$257,H$110+4,FALSE)</f>
        <v>29500</v>
      </c>
      <c r="T126" s="197">
        <f>VLOOKUP($N126,MTSP2016!$A$4:$L$257,I$110+4,FALSE)</f>
        <v>31900</v>
      </c>
      <c r="U126" s="197">
        <f>VLOOKUP($N126,MTSP2016!$A$4:$L$257,J$110+4,FALSE)</f>
        <v>34250</v>
      </c>
      <c r="V126" s="197">
        <f>VLOOKUP($N126,MTSP2016!$A$4:$L$257,K$110+4,FALSE)</f>
        <v>36600</v>
      </c>
      <c r="W126" s="197">
        <f>VLOOKUP($N126,MTSP2016!$A$4:$L$257,L$110+4,FALSE)</f>
        <v>38950</v>
      </c>
      <c r="X126" s="207"/>
      <c r="Y126" s="197">
        <f>IF($B$18=$AU$10,VLOOKUP($N126,MTSP2016!$A$4:$AK$257,E$110+21,FALSE),0)</f>
        <v>21950</v>
      </c>
      <c r="Z126" s="197">
        <f>IF($B$18=$AU$10,VLOOKUP($N126,MTSP2016!$A$4:$AK$257,F$110+21,FALSE),0)</f>
        <v>25050</v>
      </c>
      <c r="AA126" s="197">
        <f>IF($B$18=$AU$10,VLOOKUP($N126,MTSP2016!$A$4:$AK$257,G$110+21,FALSE),0)</f>
        <v>28200</v>
      </c>
      <c r="AB126" s="197">
        <f>IF($B$18=$AU$10,VLOOKUP($N126,MTSP2016!$A$4:$AK$257,H$110+21,FALSE),0)</f>
        <v>31300</v>
      </c>
      <c r="AC126" s="197">
        <f>IF($B$18=$AU$10,VLOOKUP($N126,MTSP2016!$A$4:$AK$257,I$110+21,FALSE),0)</f>
        <v>33850</v>
      </c>
      <c r="AD126" s="197">
        <f>IF($B$18=$AU$10,VLOOKUP($N126,MTSP2016!$A$4:$AK$257,J$110+21,FALSE),0)</f>
        <v>36350</v>
      </c>
      <c r="AE126" s="197">
        <f>IF($B$18=$AU$10,VLOOKUP($N126,MTSP2016!$A$4:$AK$257,K$110+21,FALSE),0)</f>
        <v>38850</v>
      </c>
      <c r="AF126" s="197">
        <f>IF($B$18=$AU$10,VLOOKUP($N126,MTSP2016!$A$4:$AK$257,L$110+21,FALSE),0)</f>
        <v>41350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23350</v>
      </c>
      <c r="F127" s="299">
        <f t="shared" ref="F127:L129" si="145">+MAX(F126,F128)</f>
        <v>26700</v>
      </c>
      <c r="G127" s="299">
        <f t="shared" si="145"/>
        <v>30050</v>
      </c>
      <c r="H127" s="299">
        <f t="shared" si="145"/>
        <v>33350</v>
      </c>
      <c r="I127" s="299">
        <f t="shared" si="145"/>
        <v>36050</v>
      </c>
      <c r="J127" s="299">
        <f t="shared" si="145"/>
        <v>38700</v>
      </c>
      <c r="K127" s="299">
        <f t="shared" si="145"/>
        <v>41400</v>
      </c>
      <c r="L127" s="299">
        <f t="shared" si="145"/>
        <v>44050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23350</v>
      </c>
      <c r="F128" s="301">
        <f t="shared" si="146"/>
        <v>26700</v>
      </c>
      <c r="G128" s="301">
        <f t="shared" si="146"/>
        <v>30050</v>
      </c>
      <c r="H128" s="301">
        <f t="shared" si="146"/>
        <v>33350</v>
      </c>
      <c r="I128" s="301">
        <f t="shared" si="146"/>
        <v>36050</v>
      </c>
      <c r="J128" s="301">
        <f t="shared" si="146"/>
        <v>38700</v>
      </c>
      <c r="K128" s="301">
        <f t="shared" si="146"/>
        <v>41400</v>
      </c>
      <c r="L128" s="301">
        <f t="shared" si="146"/>
        <v>44050</v>
      </c>
      <c r="M128" s="207"/>
      <c r="N128" s="218" t="str">
        <f>CONCATENATE(AU27,$B$11)</f>
        <v>5/30/2017 - 3/31/2018Grayson</v>
      </c>
      <c r="O128" s="207"/>
      <c r="P128" s="197">
        <f>VLOOKUP($N128,MTSP2017!A4:L257,E$110+4,FALSE)</f>
        <v>22100</v>
      </c>
      <c r="Q128" s="197">
        <f>VLOOKUP($N128,MTSP2017!A4:L257,F$110+4,FALSE)</f>
        <v>25250</v>
      </c>
      <c r="R128" s="197">
        <f>VLOOKUP($N128,MTSP2017!A4:L257,G$110+4,FALSE)</f>
        <v>28400</v>
      </c>
      <c r="S128" s="197">
        <f>VLOOKUP($N128,MTSP2017!A4:L257,H$110+4,FALSE)</f>
        <v>31550</v>
      </c>
      <c r="T128" s="197">
        <f>VLOOKUP($N128,MTSP2017!A4:L257,I$110+4,FALSE)</f>
        <v>34100</v>
      </c>
      <c r="U128" s="197">
        <f>VLOOKUP($N128,MTSP2017!A4:L257,J$110+4,FALSE)</f>
        <v>36600</v>
      </c>
      <c r="V128" s="197">
        <f>VLOOKUP($N128,MTSP2017!A4:L257,K$110+4,FALSE)</f>
        <v>39150</v>
      </c>
      <c r="W128" s="197">
        <f>VLOOKUP($N128,MTSP2017!A4:L257,L$110+4,FALSE)</f>
        <v>41650</v>
      </c>
      <c r="X128" s="207"/>
      <c r="Y128" s="197">
        <f>IF($B$18=$AU$10,VLOOKUP($N$128,MTSP2017!A4:AK257,E$110+21,FALSE),0)</f>
        <v>23350</v>
      </c>
      <c r="Z128" s="197">
        <f>IF($B$18=$AU$10,VLOOKUP($N$128,MTSP2017!A4:AK257,F$110+21,FALSE),0)</f>
        <v>26700</v>
      </c>
      <c r="AA128" s="197">
        <f>IF($B$18=$AU$10,VLOOKUP($N$128,MTSP2017!A4:AK257,G$110+21,FALSE),0)</f>
        <v>30050</v>
      </c>
      <c r="AB128" s="197">
        <f>IF($B$18=$AU$10,VLOOKUP($N$128,MTSP2017!A4:AK257,H$110+21,FALSE),0)</f>
        <v>33350</v>
      </c>
      <c r="AC128" s="197">
        <f>IF($B$18=$AU$10,VLOOKUP($N$128,MTSP2017!A4:AK257,I$110+21,FALSE),0)</f>
        <v>36050</v>
      </c>
      <c r="AD128" s="197">
        <f>IF($B$18=$AU$10,VLOOKUP($N$128,MTSP2017!A4:AK257,J$110+21,FALSE),0)</f>
        <v>38700</v>
      </c>
      <c r="AE128" s="197">
        <f>IF($B$18=$AU$10,VLOOKUP($N$128,MTSP2017!A4:AK257,K$110+21,FALSE),0)</f>
        <v>41400</v>
      </c>
      <c r="AF128" s="197">
        <f>IF($B$18=$AU$10,VLOOKUP($N$128,MTSP2017!A4:AK257,L$110+21,FALSE),0)</f>
        <v>44050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23350</v>
      </c>
      <c r="F129" s="299">
        <f t="shared" si="145"/>
        <v>26700</v>
      </c>
      <c r="G129" s="299">
        <f t="shared" si="145"/>
        <v>30050</v>
      </c>
      <c r="H129" s="299">
        <f t="shared" si="145"/>
        <v>33350</v>
      </c>
      <c r="I129" s="299">
        <f t="shared" si="145"/>
        <v>36050</v>
      </c>
      <c r="J129" s="299">
        <f t="shared" si="145"/>
        <v>38700</v>
      </c>
      <c r="K129" s="299">
        <f t="shared" si="145"/>
        <v>41400</v>
      </c>
      <c r="L129" s="299">
        <f t="shared" si="145"/>
        <v>44050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23350</v>
      </c>
      <c r="F130" s="301">
        <f t="shared" si="147"/>
        <v>26700</v>
      </c>
      <c r="G130" s="301">
        <f t="shared" si="147"/>
        <v>30050</v>
      </c>
      <c r="H130" s="301">
        <f t="shared" si="147"/>
        <v>33350</v>
      </c>
      <c r="I130" s="301">
        <f t="shared" si="147"/>
        <v>36050</v>
      </c>
      <c r="J130" s="301">
        <f t="shared" si="147"/>
        <v>38700</v>
      </c>
      <c r="K130" s="301">
        <f t="shared" si="147"/>
        <v>41400</v>
      </c>
      <c r="L130" s="301">
        <f t="shared" si="147"/>
        <v>44050</v>
      </c>
      <c r="M130" s="207"/>
      <c r="N130" s="218" t="str">
        <f>CONCATENATE(AU29,$B$11)</f>
        <v>5/17/2018 - 4/23/2018Grayson</v>
      </c>
      <c r="O130" s="207"/>
      <c r="P130" s="197">
        <f>INDEX(MTSP2018!E3:E257,MATCH('Income-Rent Tool'!$N$130,MTSP2018!$A$3:$A$257,0))</f>
        <v>22850</v>
      </c>
      <c r="Q130" s="197">
        <f>INDEX(MTSP2018!F3:F257,MATCH('Income-Rent Tool'!$N$130,MTSP2018!$A$3:$A$257,0))</f>
        <v>26100</v>
      </c>
      <c r="R130" s="197">
        <f>INDEX(MTSP2018!G3:G257,MATCH('Income-Rent Tool'!$N$130,MTSP2018!$A$3:$A$257,0))</f>
        <v>29350</v>
      </c>
      <c r="S130" s="197">
        <f>INDEX(MTSP2018!H3:H257,MATCH('Income-Rent Tool'!$N$130,MTSP2018!$A$3:$A$257,0))</f>
        <v>32600</v>
      </c>
      <c r="T130" s="197">
        <f>INDEX(MTSP2018!I3:I257,MATCH('Income-Rent Tool'!$N$130,MTSP2018!$A$3:$A$257,0))</f>
        <v>35250</v>
      </c>
      <c r="U130" s="197">
        <f>INDEX(MTSP2018!J3:J257,MATCH('Income-Rent Tool'!$N$130,MTSP2018!$A$3:$A$257,0))</f>
        <v>37850</v>
      </c>
      <c r="V130" s="197">
        <f>INDEX(MTSP2018!K3:K257,MATCH('Income-Rent Tool'!$N$130,MTSP2018!$A$3:$A$257,0))</f>
        <v>40450</v>
      </c>
      <c r="W130" s="197">
        <f>INDEX(MTSP2018!L3:L257,MATCH('Income-Rent Tool'!$N$130,MTSP2018!$A$3:$A$257,0))</f>
        <v>43050</v>
      </c>
      <c r="X130" s="207"/>
      <c r="Y130" s="197">
        <f>IF($B$18=$AU$10,VLOOKUP($N$130,MTSP2018!$A$3:$AR$257,E$110+21,FALSE),0)</f>
        <v>23350</v>
      </c>
      <c r="Z130" s="197">
        <f>IF($B$18=$AU$10,VLOOKUP($N$130,MTSP2018!$A$3:$AR$257,F$110+21,FALSE),0)</f>
        <v>26700</v>
      </c>
      <c r="AA130" s="197">
        <f>IF($B$18=$AU$10,VLOOKUP($N$130,MTSP2018!$A$3:$AR$257,G$110+21,FALSE),0)</f>
        <v>30050</v>
      </c>
      <c r="AB130" s="197">
        <f>IF($B$18=$AU$10,VLOOKUP($N$130,MTSP2018!$A$3:$AR$257,H$110+21,FALSE),0)</f>
        <v>33350</v>
      </c>
      <c r="AC130" s="197">
        <f>IF($B$18=$AU$10,VLOOKUP($N$130,MTSP2018!$A$3:$AR$257,I$110+21,FALSE),0)</f>
        <v>36050</v>
      </c>
      <c r="AD130" s="197">
        <f>IF($B$18=$AU$10,VLOOKUP($N$130,MTSP2018!$A$3:$AR$257,J$110+21,FALSE),0)</f>
        <v>38700</v>
      </c>
      <c r="AE130" s="197">
        <f>IF($B$18=$AU$10,VLOOKUP($N$130,MTSP2018!$A$3:$AR$257,K$110+21,FALSE),0)</f>
        <v>41400</v>
      </c>
      <c r="AF130" s="197">
        <f>IF($B$18=$AU$10,VLOOKUP($N$130,MTSP2018!$A$3:$AR$257,L$110+21,FALSE),0)</f>
        <v>44050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23650</v>
      </c>
      <c r="F131" s="299">
        <f t="shared" ref="F131:L131" si="148">+MAX(F130,F132)</f>
        <v>27000</v>
      </c>
      <c r="G131" s="299">
        <f t="shared" si="148"/>
        <v>30400</v>
      </c>
      <c r="H131" s="299">
        <f t="shared" si="148"/>
        <v>33750</v>
      </c>
      <c r="I131" s="299">
        <f t="shared" si="148"/>
        <v>36450</v>
      </c>
      <c r="J131" s="299">
        <f t="shared" si="148"/>
        <v>39150</v>
      </c>
      <c r="K131" s="299">
        <f t="shared" si="148"/>
        <v>41850</v>
      </c>
      <c r="L131" s="299">
        <f t="shared" si="148"/>
        <v>44550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23650</v>
      </c>
      <c r="F132" s="301">
        <f t="shared" si="149"/>
        <v>27000</v>
      </c>
      <c r="G132" s="301">
        <f t="shared" si="149"/>
        <v>30400</v>
      </c>
      <c r="H132" s="301">
        <f t="shared" si="149"/>
        <v>33750</v>
      </c>
      <c r="I132" s="301">
        <f t="shared" si="149"/>
        <v>36450</v>
      </c>
      <c r="J132" s="301">
        <f t="shared" si="149"/>
        <v>39150</v>
      </c>
      <c r="K132" s="301">
        <f t="shared" si="149"/>
        <v>41850</v>
      </c>
      <c r="L132" s="301">
        <f t="shared" si="149"/>
        <v>44550</v>
      </c>
      <c r="M132" s="207"/>
      <c r="N132" s="255" t="str">
        <f>CONCATENATE(AU31,$B$11)</f>
        <v>On or After 6/9/2019Grayson</v>
      </c>
      <c r="O132" s="207"/>
      <c r="P132" s="197">
        <f>INDEX(MTSP2019!E3:E257,MATCH('Income-Rent Tool'!$N$132,MTSP2019!$A$3:$A$257,0))</f>
        <v>23650</v>
      </c>
      <c r="Q132" s="197">
        <f>INDEX(MTSP2019!F3:F257,MATCH('Income-Rent Tool'!$N$132,MTSP2019!$A$3:$A$257,0))</f>
        <v>27000</v>
      </c>
      <c r="R132" s="197">
        <f>INDEX(MTSP2019!G3:G257,MATCH('Income-Rent Tool'!$N$132,MTSP2019!$A$3:$A$257,0))</f>
        <v>30400</v>
      </c>
      <c r="S132" s="197">
        <f>INDEX(MTSP2019!H3:H257,MATCH('Income-Rent Tool'!$N$132,MTSP2019!$A$3:$A$257,0))</f>
        <v>33750</v>
      </c>
      <c r="T132" s="197">
        <f>INDEX(MTSP2019!I3:I257,MATCH('Income-Rent Tool'!$N$132,MTSP2019!$A$3:$A$257,0))</f>
        <v>36450</v>
      </c>
      <c r="U132" s="197">
        <f>INDEX(MTSP2019!J3:J257,MATCH('Income-Rent Tool'!$N$132,MTSP2019!$A$3:$A$257,0))</f>
        <v>39150</v>
      </c>
      <c r="V132" s="197">
        <f>INDEX(MTSP2019!K3:K257,MATCH('Income-Rent Tool'!$N$132,MTSP2019!$A$3:$A$257,0))</f>
        <v>41850</v>
      </c>
      <c r="W132" s="197">
        <f>INDEX(MTSP2019!L3:L257,MATCH('Income-Rent Tool'!$N$132,MTSP2019!$A$3:$A$257,0))</f>
        <v>44550</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24300</v>
      </c>
      <c r="F135" s="298">
        <f t="shared" si="152"/>
        <v>27780</v>
      </c>
      <c r="G135" s="298">
        <f t="shared" si="152"/>
        <v>31260</v>
      </c>
      <c r="H135" s="298">
        <f t="shared" si="152"/>
        <v>34740</v>
      </c>
      <c r="I135" s="298">
        <f t="shared" si="152"/>
        <v>37500</v>
      </c>
      <c r="J135" s="298">
        <f t="shared" si="152"/>
        <v>40320</v>
      </c>
      <c r="K135" s="298">
        <f t="shared" si="152"/>
        <v>43080</v>
      </c>
      <c r="L135" s="298">
        <f t="shared" si="152"/>
        <v>45840</v>
      </c>
      <c r="N135" s="91" t="str">
        <f>CONCATENATE($AU$10,$B$11,$N$134)</f>
        <v>Before 12-31-2008Grayson60</v>
      </c>
      <c r="P135" s="194">
        <f>VLOOKUP($N135,'pre 12-31-08'!$A$4:$L$1400,E$134+3,FALSE)</f>
        <v>24300</v>
      </c>
      <c r="Q135" s="194">
        <f>VLOOKUP($N135,'pre 12-31-08'!$A$4:$L$1400,F$134+3,FALSE)</f>
        <v>27780</v>
      </c>
      <c r="R135" s="194">
        <f>VLOOKUP($N135,'pre 12-31-08'!$A$4:$L$1400,G$134+3,FALSE)</f>
        <v>31260</v>
      </c>
      <c r="S135" s="194">
        <f>VLOOKUP($N135,'pre 12-31-08'!$A$4:$L$1400,H$134+3,FALSE)</f>
        <v>34740</v>
      </c>
      <c r="T135" s="194">
        <f>VLOOKUP($N135,'pre 12-31-08'!$A$4:$L$1400,I$134+3,FALSE)</f>
        <v>37500</v>
      </c>
      <c r="U135" s="194">
        <f>VLOOKUP($N135,'pre 12-31-08'!$A$4:$L$1400,J$134+3,FALSE)</f>
        <v>40320</v>
      </c>
      <c r="V135" s="194">
        <f>VLOOKUP($N135,'pre 12-31-08'!$A$4:$L$1400,K$134+3,FALSE)</f>
        <v>43080</v>
      </c>
      <c r="W135" s="194">
        <f>VLOOKUP($N135,'pre 12-31-08'!$A$4:$L$1400,L$134+3,FALSE)</f>
        <v>45840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24240</v>
      </c>
      <c r="F136" s="298">
        <f t="shared" si="152"/>
        <v>27660</v>
      </c>
      <c r="G136" s="298">
        <f t="shared" si="152"/>
        <v>31140</v>
      </c>
      <c r="H136" s="298">
        <f t="shared" si="152"/>
        <v>34560</v>
      </c>
      <c r="I136" s="298">
        <f t="shared" si="152"/>
        <v>37380</v>
      </c>
      <c r="J136" s="298">
        <f t="shared" si="152"/>
        <v>40140</v>
      </c>
      <c r="K136" s="298">
        <f t="shared" si="152"/>
        <v>42900</v>
      </c>
      <c r="L136" s="298">
        <f t="shared" si="152"/>
        <v>45660</v>
      </c>
      <c r="N136" s="91" t="str">
        <f>CONCATENATE($AU$11,$B$11,$N$134)</f>
        <v>1/1/2009 - 5/13/2010Grayson60</v>
      </c>
      <c r="P136" s="194">
        <f>VLOOKUP($N136,'1-1-09-5-14-10'!$A$4:$L$1400,E$134+3,FALSE)</f>
        <v>24240</v>
      </c>
      <c r="Q136" s="194">
        <f>VLOOKUP($N136,'1-1-09-5-14-10'!$A$4:$L$1400,F$134+3,FALSE)</f>
        <v>27660</v>
      </c>
      <c r="R136" s="194">
        <f>VLOOKUP($N136,'1-1-09-5-14-10'!$A$4:$L$1400,G$134+3,FALSE)</f>
        <v>31140</v>
      </c>
      <c r="S136" s="194">
        <f>VLOOKUP($N136,'1-1-09-5-14-10'!$A$4:$L$1400,H$134+3,FALSE)</f>
        <v>34560</v>
      </c>
      <c r="T136" s="194">
        <f>VLOOKUP($N136,'1-1-09-5-14-10'!$A$4:$L$1400,I$134+3,FALSE)</f>
        <v>37380</v>
      </c>
      <c r="U136" s="194">
        <f>VLOOKUP($N136,'1-1-09-5-14-10'!$A$4:$L$1400,J$134+3,FALSE)</f>
        <v>40140</v>
      </c>
      <c r="V136" s="194">
        <f>VLOOKUP($N136,'1-1-09-5-14-10'!$A$4:$L$1400,K$134+3,FALSE)</f>
        <v>42900</v>
      </c>
      <c r="W136" s="194">
        <f>VLOOKUP($N136,'1-1-09-5-14-10'!$A$4:$L$1400,L$134+3,FALSE)</f>
        <v>45660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24240</v>
      </c>
      <c r="F137" s="299">
        <f t="shared" si="155"/>
        <v>27660</v>
      </c>
      <c r="G137" s="299">
        <f t="shared" si="155"/>
        <v>31140</v>
      </c>
      <c r="H137" s="299">
        <f t="shared" si="155"/>
        <v>34560</v>
      </c>
      <c r="I137" s="299">
        <f t="shared" si="155"/>
        <v>37380</v>
      </c>
      <c r="J137" s="299">
        <f t="shared" si="155"/>
        <v>40140</v>
      </c>
      <c r="K137" s="299">
        <f t="shared" si="155"/>
        <v>42900</v>
      </c>
      <c r="L137" s="299">
        <f t="shared" si="155"/>
        <v>45660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24240</v>
      </c>
      <c r="F138" s="298">
        <f t="shared" si="156"/>
        <v>27660</v>
      </c>
      <c r="G138" s="298">
        <f t="shared" si="156"/>
        <v>31140</v>
      </c>
      <c r="H138" s="298">
        <f t="shared" si="156"/>
        <v>34560</v>
      </c>
      <c r="I138" s="298">
        <f t="shared" si="156"/>
        <v>37380</v>
      </c>
      <c r="J138" s="298">
        <f t="shared" si="156"/>
        <v>40140</v>
      </c>
      <c r="K138" s="298">
        <f t="shared" si="156"/>
        <v>42900</v>
      </c>
      <c r="L138" s="298">
        <f t="shared" si="156"/>
        <v>45660</v>
      </c>
      <c r="N138" s="91" t="str">
        <f>CONCATENATE($AU$13,$B$11,$N$134)</f>
        <v>6/29/2010 - 5/30/2011Grayson60</v>
      </c>
      <c r="P138" s="194">
        <f>VLOOKUP($N138,'5-14-10-5-31-11'!$A$4:$L$1400,E$134+3,FALSE)</f>
        <v>24240</v>
      </c>
      <c r="Q138" s="194">
        <f>VLOOKUP($N138,'5-14-10-5-31-11'!$A$4:$L$1400,F$134+3,FALSE)</f>
        <v>27660</v>
      </c>
      <c r="R138" s="194">
        <f>VLOOKUP($N138,'5-14-10-5-31-11'!$A$4:$L$1400,G$134+3,FALSE)</f>
        <v>31140</v>
      </c>
      <c r="S138" s="194">
        <f>VLOOKUP($N138,'5-14-10-5-31-11'!$A$4:$L$1400,H$134+3,FALSE)</f>
        <v>34560</v>
      </c>
      <c r="T138" s="194">
        <f>VLOOKUP($N138,'5-14-10-5-31-11'!$A$4:$L$1400,I$134+3,FALSE)</f>
        <v>37380</v>
      </c>
      <c r="U138" s="194">
        <f>VLOOKUP($N138,'5-14-10-5-31-11'!$A$4:$L$1400,J$134+3,FALSE)</f>
        <v>40140</v>
      </c>
      <c r="V138" s="194">
        <f>VLOOKUP($N138,'5-14-10-5-31-11'!$A$4:$L$1400,K$134+3,FALSE)</f>
        <v>42900</v>
      </c>
      <c r="W138" s="194">
        <f>VLOOKUP($N138,'5-14-10-5-31-11'!$A$4:$L$1400,L$134+3,FALSE)</f>
        <v>45660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24780</v>
      </c>
      <c r="F139" s="299">
        <f t="shared" si="158"/>
        <v>28320</v>
      </c>
      <c r="G139" s="299">
        <f t="shared" si="158"/>
        <v>31860</v>
      </c>
      <c r="H139" s="299">
        <f t="shared" si="158"/>
        <v>35400</v>
      </c>
      <c r="I139" s="299">
        <f t="shared" si="158"/>
        <v>38280</v>
      </c>
      <c r="J139" s="299">
        <f t="shared" si="158"/>
        <v>41100</v>
      </c>
      <c r="K139" s="299">
        <f t="shared" si="158"/>
        <v>43920</v>
      </c>
      <c r="L139" s="299">
        <f t="shared" si="158"/>
        <v>46740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24780</v>
      </c>
      <c r="F140" s="298">
        <f t="shared" si="159"/>
        <v>28320</v>
      </c>
      <c r="G140" s="298">
        <f t="shared" si="159"/>
        <v>31860</v>
      </c>
      <c r="H140" s="298">
        <f t="shared" si="159"/>
        <v>35400</v>
      </c>
      <c r="I140" s="298">
        <f t="shared" si="159"/>
        <v>38280</v>
      </c>
      <c r="J140" s="298">
        <f t="shared" si="159"/>
        <v>41100</v>
      </c>
      <c r="K140" s="298">
        <f t="shared" si="159"/>
        <v>43920</v>
      </c>
      <c r="L140" s="298">
        <f t="shared" si="159"/>
        <v>46740</v>
      </c>
      <c r="M140" s="6"/>
      <c r="N140" s="91" t="str">
        <f>CONCATENATE(AU15,$B$11)</f>
        <v>7/16/2011 - 11/31/2011Grayson</v>
      </c>
      <c r="O140" s="6"/>
      <c r="P140" s="194">
        <f>VLOOKUP($N140,'6-1-11'!$A$4:$T$257,E$134+12,FALSE)</f>
        <v>24780</v>
      </c>
      <c r="Q140" s="194">
        <f>VLOOKUP($N140,'6-1-11'!$A$4:$T$257,F$134+12,FALSE)</f>
        <v>28320</v>
      </c>
      <c r="R140" s="194">
        <f>VLOOKUP($N140,'6-1-11'!$A$4:$T$257,G$134+12,FALSE)</f>
        <v>31860</v>
      </c>
      <c r="S140" s="194">
        <f>VLOOKUP($N140,'6-1-11'!$A$4:$T$257,H$134+12,FALSE)</f>
        <v>35400</v>
      </c>
      <c r="T140" s="194">
        <f>VLOOKUP($N140,'6-1-11'!$A$4:$T$257,I$134+12,FALSE)</f>
        <v>38280</v>
      </c>
      <c r="U140" s="194">
        <f>VLOOKUP($N140,'6-1-11'!$A$4:$T$257,J$134+12,FALSE)</f>
        <v>41100</v>
      </c>
      <c r="V140" s="194">
        <f>VLOOKUP($N140,'6-1-11'!$A$4:$T$257,K$134+12,FALSE)</f>
        <v>43920</v>
      </c>
      <c r="W140" s="194">
        <f>VLOOKUP($N140,'6-1-11'!$A$4:$T$257,L$134+12,FALSE)</f>
        <v>46740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25140</v>
      </c>
      <c r="F141" s="299">
        <f t="shared" si="161"/>
        <v>28740</v>
      </c>
      <c r="G141" s="299">
        <f t="shared" si="161"/>
        <v>32340</v>
      </c>
      <c r="H141" s="299">
        <f t="shared" si="161"/>
        <v>35880</v>
      </c>
      <c r="I141" s="299">
        <f t="shared" si="161"/>
        <v>38760</v>
      </c>
      <c r="J141" s="299">
        <f t="shared" si="161"/>
        <v>41640</v>
      </c>
      <c r="K141" s="299">
        <f t="shared" si="161"/>
        <v>44520</v>
      </c>
      <c r="L141" s="299">
        <f t="shared" si="161"/>
        <v>47400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25140</v>
      </c>
      <c r="F142" s="298">
        <f t="shared" si="162"/>
        <v>28740</v>
      </c>
      <c r="G142" s="298">
        <f t="shared" si="162"/>
        <v>32340</v>
      </c>
      <c r="H142" s="298">
        <f t="shared" si="162"/>
        <v>35880</v>
      </c>
      <c r="I142" s="298">
        <f t="shared" si="162"/>
        <v>38760</v>
      </c>
      <c r="J142" s="298">
        <f t="shared" si="162"/>
        <v>41640</v>
      </c>
      <c r="K142" s="298">
        <f t="shared" si="162"/>
        <v>44520</v>
      </c>
      <c r="L142" s="298">
        <f t="shared" si="162"/>
        <v>47400</v>
      </c>
      <c r="M142" s="6"/>
      <c r="N142" s="91" t="str">
        <f>CONCATENATE(AU17,$B$11)</f>
        <v>1/16/2012 - 12/3/2012Grayson</v>
      </c>
      <c r="O142" s="6"/>
      <c r="P142" s="194">
        <f>VLOOKUP($N142,'12-1-11'!$A$4:$T$257,E$134+12,FALSE)</f>
        <v>25140</v>
      </c>
      <c r="Q142" s="194">
        <f>VLOOKUP($N142,'12-1-11'!$A$4:$T$257,F$134+12,FALSE)</f>
        <v>28740</v>
      </c>
      <c r="R142" s="194">
        <f>VLOOKUP($N142,'12-1-11'!$A$4:$T$257,G$134+12,FALSE)</f>
        <v>32340</v>
      </c>
      <c r="S142" s="194">
        <f>VLOOKUP($N142,'12-1-11'!$A$4:$T$257,H$134+12,FALSE)</f>
        <v>35880</v>
      </c>
      <c r="T142" s="194">
        <f>VLOOKUP($N142,'12-1-11'!$A$4:$T$257,I$134+12,FALSE)</f>
        <v>38760</v>
      </c>
      <c r="U142" s="194">
        <f>VLOOKUP($N142,'12-1-11'!$A$4:$T$257,J$134+12,FALSE)</f>
        <v>41640</v>
      </c>
      <c r="V142" s="194">
        <f>VLOOKUP($N142,'12-1-11'!$A$4:$T$257,K$134+12,FALSE)</f>
        <v>44520</v>
      </c>
      <c r="W142" s="194">
        <f>VLOOKUP($N142,'12-1-11'!$A$4:$T$257,L$134+12,FALSE)</f>
        <v>47400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25920</v>
      </c>
      <c r="F143" s="299">
        <f t="shared" si="164"/>
        <v>29640</v>
      </c>
      <c r="G143" s="299">
        <f t="shared" si="164"/>
        <v>33360</v>
      </c>
      <c r="H143" s="299">
        <f t="shared" si="164"/>
        <v>37020</v>
      </c>
      <c r="I143" s="299">
        <f t="shared" si="164"/>
        <v>40020</v>
      </c>
      <c r="J143" s="299">
        <f t="shared" si="164"/>
        <v>42960</v>
      </c>
      <c r="K143" s="299">
        <f t="shared" si="164"/>
        <v>45960</v>
      </c>
      <c r="L143" s="299">
        <f t="shared" si="164"/>
        <v>48900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25920</v>
      </c>
      <c r="F144" s="298">
        <f t="shared" si="166"/>
        <v>29640</v>
      </c>
      <c r="G144" s="298">
        <f t="shared" si="166"/>
        <v>33360</v>
      </c>
      <c r="H144" s="298">
        <f t="shared" si="166"/>
        <v>37020</v>
      </c>
      <c r="I144" s="298">
        <f t="shared" si="166"/>
        <v>40020</v>
      </c>
      <c r="J144" s="298">
        <f t="shared" si="166"/>
        <v>42960</v>
      </c>
      <c r="K144" s="298">
        <f t="shared" si="166"/>
        <v>45960</v>
      </c>
      <c r="L144" s="298">
        <f t="shared" si="166"/>
        <v>48900</v>
      </c>
      <c r="N144" s="91" t="str">
        <f>CONCATENATE(AU19,$B$11)</f>
        <v>1/18/2013 - 12/17/2013Grayson</v>
      </c>
      <c r="P144" s="194">
        <f>VLOOKUP($N144,'2013 placeholder'!$A$4:$T$257,E$134+12,FALSE)</f>
        <v>25920</v>
      </c>
      <c r="Q144" s="194">
        <f>VLOOKUP($N144,'2013 placeholder'!$A$4:$T$257,F$134+12,FALSE)</f>
        <v>29640</v>
      </c>
      <c r="R144" s="194">
        <f>VLOOKUP($N144,'2013 placeholder'!$A$4:$T$257,G$134+12,FALSE)</f>
        <v>33360</v>
      </c>
      <c r="S144" s="194">
        <f>VLOOKUP($N144,'2013 placeholder'!$A$4:$T$257,H$134+12,FALSE)</f>
        <v>37020</v>
      </c>
      <c r="T144" s="194">
        <f>VLOOKUP($N144,'2013 placeholder'!$A$4:$T$257,I$134+12,FALSE)</f>
        <v>40020</v>
      </c>
      <c r="U144" s="194">
        <f>VLOOKUP($N144,'2013 placeholder'!$A$4:$T$257,J$134+12,FALSE)</f>
        <v>42960</v>
      </c>
      <c r="V144" s="194">
        <f>VLOOKUP($N144,'2013 placeholder'!$A$4:$T$257,K$134+12,FALSE)</f>
        <v>45960</v>
      </c>
      <c r="W144" s="194">
        <f>VLOOKUP($N144,'2013 placeholder'!$A$4:$T$257,L$134+12,FALSE)</f>
        <v>48900</v>
      </c>
      <c r="Y144" s="194">
        <f>IF($B$18=$AU$10,VLOOKUP($N144,'2013 placeholder'!$A$4:$AK$257,E$134+29,FALSE),0)</f>
        <v>0</v>
      </c>
      <c r="Z144" s="194">
        <f>IF($B$18=$AU$10,VLOOKUP($N144,'2013 placeholder'!$A$4:$AK$257,F$134+29,FALSE),0)</f>
        <v>0</v>
      </c>
      <c r="AA144" s="194">
        <f>IF($B$18=$AU$10,VLOOKUP($N144,'2013 placeholder'!$A$4:$AK$257,G$134+29,FALSE),0)</f>
        <v>0</v>
      </c>
      <c r="AB144" s="194">
        <f>IF($B$18=$AU$10,VLOOKUP($N144,'2013 placeholder'!$A$4:$AK$257,H$134+29,FALSE),0)</f>
        <v>0</v>
      </c>
      <c r="AC144" s="194">
        <f>IF($B$18=$AU$10,VLOOKUP($N144,'2013 placeholder'!$A$4:$AK$257,I$134+29,FALSE),0)</f>
        <v>0</v>
      </c>
      <c r="AD144" s="194">
        <f>IF($B$18=$AU$10,VLOOKUP($N144,'2013 placeholder'!$A$4:$AK$257,J$134+29,FALSE),0)</f>
        <v>0</v>
      </c>
      <c r="AE144" s="194">
        <f>IF($B$18=$AU$10,VLOOKUP($N144,'2013 placeholder'!$A$4:$AK$257,K$134+29,FALSE),0)</f>
        <v>0</v>
      </c>
      <c r="AF144" s="194">
        <f>IF($B$18=$AU$10,VLOOKUP($N144,'2013 placeholder'!$A$4:$AK$257,L$134+29,FALSE),0)</f>
        <v>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25920</v>
      </c>
      <c r="F145" s="299">
        <f t="shared" si="168"/>
        <v>29640</v>
      </c>
      <c r="G145" s="299">
        <f t="shared" si="168"/>
        <v>33360</v>
      </c>
      <c r="H145" s="299">
        <f t="shared" si="168"/>
        <v>37020</v>
      </c>
      <c r="I145" s="299">
        <f t="shared" si="168"/>
        <v>40020</v>
      </c>
      <c r="J145" s="299">
        <f t="shared" si="168"/>
        <v>42960</v>
      </c>
      <c r="K145" s="299">
        <f t="shared" si="168"/>
        <v>45960</v>
      </c>
      <c r="L145" s="299">
        <f t="shared" si="168"/>
        <v>48900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25920</v>
      </c>
      <c r="F146" s="298">
        <f t="shared" si="169"/>
        <v>29640</v>
      </c>
      <c r="G146" s="298">
        <f t="shared" si="169"/>
        <v>33360</v>
      </c>
      <c r="H146" s="298">
        <f t="shared" si="169"/>
        <v>37020</v>
      </c>
      <c r="I146" s="298">
        <f t="shared" si="169"/>
        <v>40020</v>
      </c>
      <c r="J146" s="298">
        <f t="shared" si="169"/>
        <v>42960</v>
      </c>
      <c r="K146" s="298">
        <f t="shared" si="169"/>
        <v>45960</v>
      </c>
      <c r="L146" s="298">
        <f t="shared" si="169"/>
        <v>48900</v>
      </c>
      <c r="N146" s="95" t="str">
        <f>CONCATENATE(AU21,$B$11)</f>
        <v>2/1/2014 - 3/5/2015Grayson</v>
      </c>
      <c r="P146" s="197">
        <f>VLOOKUP($N146,'2014 placeholder'!$A$4:$T$257,E$134+12,FALSE)</f>
        <v>24660</v>
      </c>
      <c r="Q146" s="197">
        <f>VLOOKUP($N146,'2014 placeholder'!$A$4:$T$257,F$134+12,FALSE)</f>
        <v>28200</v>
      </c>
      <c r="R146" s="197">
        <f>VLOOKUP($N146,'2014 placeholder'!$A$4:$T$257,G$134+12,FALSE)</f>
        <v>31740</v>
      </c>
      <c r="S146" s="197">
        <f>VLOOKUP($N146,'2014 placeholder'!$A$4:$T$257,H$134+12,FALSE)</f>
        <v>35220</v>
      </c>
      <c r="T146" s="197">
        <f>VLOOKUP($N146,'2014 placeholder'!$A$4:$T$257,I$134+12,FALSE)</f>
        <v>38040</v>
      </c>
      <c r="U146" s="197">
        <f>VLOOKUP($N146,'2014 placeholder'!$A$4:$T$257,J$134+12,FALSE)</f>
        <v>40860</v>
      </c>
      <c r="V146" s="197">
        <f>VLOOKUP($N146,'2014 placeholder'!$A$4:$T$257,K$134+12,FALSE)</f>
        <v>43680</v>
      </c>
      <c r="W146" s="197">
        <f>VLOOKUP($N146,'2014 placeholder'!$A$4:$T$257,L$134+12,FALSE)</f>
        <v>46500</v>
      </c>
      <c r="Y146" s="197">
        <f>IF($B$18=$AU$10,VLOOKUP($N146,'2014 placeholder'!$A$4:$AK$257,E$134+29,FALSE),0)</f>
        <v>25920</v>
      </c>
      <c r="Z146" s="197">
        <f>IF($B$18=$AU$10,VLOOKUP($N146,'2014 placeholder'!$A$4:$AK$257,F$134+29,FALSE),0)</f>
        <v>29640</v>
      </c>
      <c r="AA146" s="197">
        <f>IF($B$18=$AU$10,VLOOKUP($N146,'2014 placeholder'!$A$4:$AK$257,G$134+29,FALSE),0)</f>
        <v>33360</v>
      </c>
      <c r="AB146" s="197">
        <f>IF($B$18=$AU$10,VLOOKUP($N146,'2014 placeholder'!$A$4:$AK$257,H$134+29,FALSE),0)</f>
        <v>37020</v>
      </c>
      <c r="AC146" s="197">
        <f>IF($B$18=$AU$10,VLOOKUP($N146,'2014 placeholder'!$A$4:$AK$257,I$134+29,FALSE),0)</f>
        <v>40020</v>
      </c>
      <c r="AD146" s="197">
        <f>IF($B$18=$AU$10,VLOOKUP($N146,'2014 placeholder'!$A$4:$AK$257,J$134+29,FALSE),0)</f>
        <v>42960</v>
      </c>
      <c r="AE146" s="197">
        <f>IF($B$18=$AU$10,VLOOKUP($N146,'2014 placeholder'!$A$4:$AK$257,K$134+29,FALSE),0)</f>
        <v>45960</v>
      </c>
      <c r="AF146" s="197">
        <f>IF($B$18=$AU$10,VLOOKUP($N146,'2014 placeholder'!$A$4:$AK$257,L$134+29,FALSE),0)</f>
        <v>48900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26340</v>
      </c>
      <c r="F147" s="299">
        <f t="shared" ref="F147:L147" si="171">+MAX(F146,F148)</f>
        <v>30060</v>
      </c>
      <c r="G147" s="299">
        <f t="shared" si="171"/>
        <v>33840</v>
      </c>
      <c r="H147" s="299">
        <f t="shared" si="171"/>
        <v>37560</v>
      </c>
      <c r="I147" s="299">
        <f t="shared" si="171"/>
        <v>40620</v>
      </c>
      <c r="J147" s="299">
        <f t="shared" si="171"/>
        <v>43620</v>
      </c>
      <c r="K147" s="299">
        <f t="shared" si="171"/>
        <v>46620</v>
      </c>
      <c r="L147" s="299">
        <f t="shared" si="171"/>
        <v>49620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26340</v>
      </c>
      <c r="F148" s="300">
        <f t="shared" si="172"/>
        <v>30060</v>
      </c>
      <c r="G148" s="300">
        <f t="shared" si="172"/>
        <v>33840</v>
      </c>
      <c r="H148" s="300">
        <f t="shared" si="172"/>
        <v>37560</v>
      </c>
      <c r="I148" s="300">
        <f t="shared" si="172"/>
        <v>40620</v>
      </c>
      <c r="J148" s="300">
        <f t="shared" si="172"/>
        <v>43620</v>
      </c>
      <c r="K148" s="300">
        <f t="shared" si="172"/>
        <v>46620</v>
      </c>
      <c r="L148" s="300">
        <f t="shared" si="172"/>
        <v>49620</v>
      </c>
      <c r="N148" s="95" t="str">
        <f>CONCATENATE(AU23,$B$11)</f>
        <v>4/21/2015 - 3/27/2016Grayson</v>
      </c>
      <c r="P148" s="197">
        <f>VLOOKUP($N148,'2015 MTSP Limits'!$A$4:$T$257,E$134+12,FALSE)</f>
        <v>26100</v>
      </c>
      <c r="Q148" s="197">
        <f>VLOOKUP($N148,'2015 MTSP Limits'!$A$4:$T$257,F$134+12,FALSE)</f>
        <v>29820</v>
      </c>
      <c r="R148" s="197">
        <f>VLOOKUP($N148,'2015 MTSP Limits'!$A$4:$T$257,G$134+12,FALSE)</f>
        <v>33540</v>
      </c>
      <c r="S148" s="197">
        <f>VLOOKUP($N148,'2015 MTSP Limits'!$A$4:$T$257,H$134+12,FALSE)</f>
        <v>37260</v>
      </c>
      <c r="T148" s="197">
        <f>VLOOKUP($N148,'2015 MTSP Limits'!$A$4:$T$257,I$134+12,FALSE)</f>
        <v>40260</v>
      </c>
      <c r="U148" s="197">
        <f>VLOOKUP($N148,'2015 MTSP Limits'!$A$4:$T$257,J$134+12,FALSE)</f>
        <v>43260</v>
      </c>
      <c r="V148" s="197">
        <f>VLOOKUP($N148,'2015 MTSP Limits'!$A$4:$T$257,K$134+12,FALSE)</f>
        <v>46260</v>
      </c>
      <c r="W148" s="197">
        <f>VLOOKUP($N148,'2015 MTSP Limits'!$A$4:$T$257,L$134+12,FALSE)</f>
        <v>49200</v>
      </c>
      <c r="Y148" s="197">
        <f>IF($B$18=$AU$10,VLOOKUP($N148,'2015 MTSP Limits'!$A$4:$AK$257,E$110+29,FALSE),0)</f>
        <v>26340</v>
      </c>
      <c r="Z148" s="197">
        <f>IF($B$18=$AU$10,VLOOKUP($N148,'2015 MTSP Limits'!$A$4:$AK$257,F$110+29,FALSE),0)</f>
        <v>30060</v>
      </c>
      <c r="AA148" s="197">
        <f>IF($B$18=$AU$10,VLOOKUP($N148,'2015 MTSP Limits'!$A$4:$AK$257,G$110+29,FALSE),0)</f>
        <v>33840</v>
      </c>
      <c r="AB148" s="197">
        <f>IF($B$18=$AU$10,VLOOKUP($N148,'2015 MTSP Limits'!$A$4:$AK$257,H$110+29,FALSE),0)</f>
        <v>37560</v>
      </c>
      <c r="AC148" s="197">
        <f>IF($B$18=$AU$10,VLOOKUP($N148,'2015 MTSP Limits'!$A$4:$AK$257,I$110+29,FALSE),0)</f>
        <v>40620</v>
      </c>
      <c r="AD148" s="197">
        <f>IF($B$18=$AU$10,VLOOKUP($N148,'2015 MTSP Limits'!$A$4:$AK$257,J$110+29,FALSE),0)</f>
        <v>43620</v>
      </c>
      <c r="AE148" s="197">
        <f>IF($B$18=$AU$10,VLOOKUP($N148,'2015 MTSP Limits'!$A$4:$AK$257,K$110+29,FALSE),0)</f>
        <v>46620</v>
      </c>
      <c r="AF148" s="197">
        <f>IF($B$18=$AU$10,VLOOKUP($N148,'2015 MTSP Limits'!$A$4:$AK$257,L$110+29,FALSE),0)</f>
        <v>49620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26340</v>
      </c>
      <c r="F149" s="299">
        <f t="shared" ref="F149:L149" si="174">+MAX(F148,F150)</f>
        <v>30060</v>
      </c>
      <c r="G149" s="299">
        <f t="shared" si="174"/>
        <v>33840</v>
      </c>
      <c r="H149" s="299">
        <f t="shared" si="174"/>
        <v>37560</v>
      </c>
      <c r="I149" s="299">
        <f t="shared" si="174"/>
        <v>40620</v>
      </c>
      <c r="J149" s="299">
        <f t="shared" si="174"/>
        <v>43620</v>
      </c>
      <c r="K149" s="299">
        <f t="shared" si="174"/>
        <v>46620</v>
      </c>
      <c r="L149" s="299">
        <f t="shared" si="174"/>
        <v>49620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26340</v>
      </c>
      <c r="F150" s="300">
        <f t="shared" si="175"/>
        <v>30060</v>
      </c>
      <c r="G150" s="300">
        <f t="shared" si="175"/>
        <v>33840</v>
      </c>
      <c r="H150" s="300">
        <f t="shared" si="175"/>
        <v>37560</v>
      </c>
      <c r="I150" s="300">
        <f t="shared" si="175"/>
        <v>40620</v>
      </c>
      <c r="J150" s="300">
        <f t="shared" si="175"/>
        <v>43620</v>
      </c>
      <c r="K150" s="300">
        <f t="shared" si="175"/>
        <v>46620</v>
      </c>
      <c r="L150" s="300">
        <f t="shared" si="175"/>
        <v>49620</v>
      </c>
      <c r="N150" s="95" t="str">
        <f>CONCATENATE(AU25,$B$11)</f>
        <v>5/13/2016 - 4/13/2017Grayson</v>
      </c>
      <c r="P150" s="197">
        <f>VLOOKUP($N150,MTSP2016!$A$4:$T$257,E$134+12,FALSE)</f>
        <v>24780</v>
      </c>
      <c r="Q150" s="197">
        <f>VLOOKUP($N150,MTSP2016!$A$4:$T$257,F$134+12,FALSE)</f>
        <v>28320</v>
      </c>
      <c r="R150" s="197">
        <f>VLOOKUP($N150,MTSP2016!$A$4:$T$257,G$134+12,FALSE)</f>
        <v>31860</v>
      </c>
      <c r="S150" s="197">
        <f>VLOOKUP($N150,MTSP2016!$A$4:$T$257,H$134+12,FALSE)</f>
        <v>35400</v>
      </c>
      <c r="T150" s="197">
        <f>VLOOKUP($N150,MTSP2016!$A$4:$T$257,I$134+12,FALSE)</f>
        <v>38280</v>
      </c>
      <c r="U150" s="197">
        <f>VLOOKUP($N150,MTSP2016!$A$4:$T$257,J$134+12,FALSE)</f>
        <v>41100</v>
      </c>
      <c r="V150" s="197">
        <f>VLOOKUP($N150,MTSP2016!$A$4:$T$257,K$134+12,FALSE)</f>
        <v>43920</v>
      </c>
      <c r="W150" s="197">
        <f>VLOOKUP($N150,MTSP2016!$A$4:$T$257,L$134+12,FALSE)</f>
        <v>46740</v>
      </c>
      <c r="X150" s="207"/>
      <c r="Y150" s="197">
        <f>IF($B$18=$AU$10,VLOOKUP($N150,MTSP2016!$A$4:$AK$257,E$110+29,FALSE),0)</f>
        <v>26340</v>
      </c>
      <c r="Z150" s="197">
        <f>IF($B$18=$AU$10,VLOOKUP($N150,MTSP2016!$A$4:$AK$257,F$110+29,FALSE),0)</f>
        <v>30060</v>
      </c>
      <c r="AA150" s="197">
        <f>IF($B$18=$AU$10,VLOOKUP($N150,MTSP2016!$A$4:$AK$257,G$110+29,FALSE),0)</f>
        <v>33840</v>
      </c>
      <c r="AB150" s="197">
        <f>IF($B$18=$AU$10,VLOOKUP($N150,MTSP2016!$A$4:$AK$257,H$110+29,FALSE),0)</f>
        <v>37560</v>
      </c>
      <c r="AC150" s="197">
        <f>IF($B$18=$AU$10,VLOOKUP($N150,MTSP2016!$A$4:$AK$257,I$110+29,FALSE),0)</f>
        <v>40620</v>
      </c>
      <c r="AD150" s="197">
        <f>IF($B$18=$AU$10,VLOOKUP($N150,MTSP2016!$A$4:$AK$257,J$110+29,FALSE),0)</f>
        <v>43620</v>
      </c>
      <c r="AE150" s="197">
        <f>IF($B$18=$AU$10,VLOOKUP($N150,MTSP2016!$A$4:$AK$257,K$110+29,FALSE),0)</f>
        <v>46620</v>
      </c>
      <c r="AF150" s="197">
        <f>IF($B$18=$AU$10,VLOOKUP($N150,MTSP2016!$A$4:$AK$257,L$110+29,FALSE),0)</f>
        <v>49620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28020</v>
      </c>
      <c r="F151" s="299">
        <f t="shared" ref="F151:L153" si="177">+MAX(F150,F152)</f>
        <v>32040</v>
      </c>
      <c r="G151" s="299">
        <f t="shared" si="177"/>
        <v>36060</v>
      </c>
      <c r="H151" s="299">
        <f t="shared" si="177"/>
        <v>40020</v>
      </c>
      <c r="I151" s="299">
        <f t="shared" si="177"/>
        <v>43260</v>
      </c>
      <c r="J151" s="299">
        <f t="shared" si="177"/>
        <v>46440</v>
      </c>
      <c r="K151" s="299">
        <f t="shared" si="177"/>
        <v>49680</v>
      </c>
      <c r="L151" s="299">
        <f t="shared" si="177"/>
        <v>52860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28020</v>
      </c>
      <c r="F152" s="301">
        <f t="shared" si="178"/>
        <v>32040</v>
      </c>
      <c r="G152" s="301">
        <f t="shared" si="178"/>
        <v>36060</v>
      </c>
      <c r="H152" s="301">
        <f t="shared" si="178"/>
        <v>40020</v>
      </c>
      <c r="I152" s="301">
        <f t="shared" si="178"/>
        <v>43260</v>
      </c>
      <c r="J152" s="301">
        <f t="shared" si="178"/>
        <v>46440</v>
      </c>
      <c r="K152" s="301">
        <f t="shared" si="178"/>
        <v>49680</v>
      </c>
      <c r="L152" s="301">
        <f t="shared" si="178"/>
        <v>52860</v>
      </c>
      <c r="M152" s="207"/>
      <c r="N152" s="218" t="str">
        <f>CONCATENATE(AU27,$B$11)</f>
        <v>5/30/2017 - 3/31/2018Grayson</v>
      </c>
      <c r="O152" s="207"/>
      <c r="P152" s="197">
        <f>VLOOKUP(N152,MTSP2017!A4:T257,E$134+12,FALSE)</f>
        <v>26520</v>
      </c>
      <c r="Q152" s="197">
        <f>VLOOKUP(N152,MTSP2017!A4:T257,F$134+12,FALSE)</f>
        <v>30300</v>
      </c>
      <c r="R152" s="197">
        <f>VLOOKUP(N152,MTSP2017!A4:T257,G$134+12,FALSE)</f>
        <v>34080</v>
      </c>
      <c r="S152" s="197">
        <f>VLOOKUP(N152,MTSP2017!A4:T257,H$134+12,FALSE)</f>
        <v>37860</v>
      </c>
      <c r="T152" s="197">
        <f>VLOOKUP(N152,MTSP2017!A4:T257,I$134+12,FALSE)</f>
        <v>40920</v>
      </c>
      <c r="U152" s="197">
        <f>VLOOKUP(N152,MTSP2017!A4:T257,J$134+12,FALSE)</f>
        <v>43920</v>
      </c>
      <c r="V152" s="197">
        <f>VLOOKUP(N152,MTSP2017!A4:T257,K$134+12,FALSE)</f>
        <v>46980</v>
      </c>
      <c r="W152" s="197">
        <f>VLOOKUP(N152,MTSP2017!A4:T257,L$134+12,FALSE)</f>
        <v>49980</v>
      </c>
      <c r="X152" s="207"/>
      <c r="Y152" s="197">
        <f>IF($B$18=$AU$10,VLOOKUP($N152,MTSP2017!A4:AK257,E$110+29,FALSE),0)</f>
        <v>28020</v>
      </c>
      <c r="Z152" s="197">
        <f>IF($B$18=$AU$10,VLOOKUP($N152,MTSP2017!A4:AK257,F$110+29,FALSE),0)</f>
        <v>32040</v>
      </c>
      <c r="AA152" s="197">
        <f>IF($B$18=$AU$10,VLOOKUP($N152,MTSP2017!A4:AK257,G$110+29,FALSE),0)</f>
        <v>36060</v>
      </c>
      <c r="AB152" s="197">
        <f>IF($B$18=$AU$10,VLOOKUP($N152,MTSP2017!A4:AK257,H$110+29,FALSE),0)</f>
        <v>40020</v>
      </c>
      <c r="AC152" s="197">
        <f>IF($B$18=$AU$10,VLOOKUP($N152,MTSP2017!A4:AK257,I$110+29,FALSE),0)</f>
        <v>43260</v>
      </c>
      <c r="AD152" s="197">
        <f>IF($B$18=$AU$10,VLOOKUP($N152,MTSP2017!A4:AK257,J$110+29,FALSE),0)</f>
        <v>46440</v>
      </c>
      <c r="AE152" s="197">
        <f>IF($B$18=$AU$10,VLOOKUP($N152,MTSP2017!A4:AK257,K$110+29,FALSE),0)</f>
        <v>49680</v>
      </c>
      <c r="AF152" s="197">
        <f>IF($B$18=$AU$10,VLOOKUP($N152,MTSP2017!A4:AK257,L$110+29,FALSE),0)</f>
        <v>52860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28020</v>
      </c>
      <c r="F153" s="299">
        <f t="shared" si="177"/>
        <v>32040</v>
      </c>
      <c r="G153" s="299">
        <f t="shared" si="177"/>
        <v>36060</v>
      </c>
      <c r="H153" s="299">
        <f t="shared" si="177"/>
        <v>40020</v>
      </c>
      <c r="I153" s="299">
        <f t="shared" si="177"/>
        <v>43260</v>
      </c>
      <c r="J153" s="299">
        <f t="shared" si="177"/>
        <v>46440</v>
      </c>
      <c r="K153" s="299">
        <f t="shared" si="177"/>
        <v>49680</v>
      </c>
      <c r="L153" s="299">
        <f t="shared" si="177"/>
        <v>52860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28020</v>
      </c>
      <c r="F154" s="301">
        <f t="shared" si="180"/>
        <v>32040</v>
      </c>
      <c r="G154" s="301">
        <f t="shared" si="180"/>
        <v>36060</v>
      </c>
      <c r="H154" s="301">
        <f t="shared" si="180"/>
        <v>40020</v>
      </c>
      <c r="I154" s="301">
        <f t="shared" si="180"/>
        <v>43260</v>
      </c>
      <c r="J154" s="301">
        <f t="shared" si="180"/>
        <v>46440</v>
      </c>
      <c r="K154" s="301">
        <f t="shared" si="180"/>
        <v>49680</v>
      </c>
      <c r="L154" s="301">
        <f t="shared" si="180"/>
        <v>52860</v>
      </c>
      <c r="M154" s="207"/>
      <c r="N154" s="218" t="str">
        <f>CONCATENATE(AU29,$B$11)</f>
        <v>5/17/2018 - 4/23/2018Grayson</v>
      </c>
      <c r="O154" s="207"/>
      <c r="P154" s="197">
        <f>INDEX(MTSP2018!M3:M257,MATCH('Income-Rent Tool'!$N$154,MTSP2018!$A$3:$A$257,0))</f>
        <v>27420</v>
      </c>
      <c r="Q154" s="197">
        <f>INDEX(MTSP2018!N3:N257,MATCH('Income-Rent Tool'!$N$154,MTSP2018!$A$3:$A$257,0))</f>
        <v>31320</v>
      </c>
      <c r="R154" s="197">
        <f>INDEX(MTSP2018!O3:O257,MATCH('Income-Rent Tool'!$N$154,MTSP2018!$A$3:$A$257,0))</f>
        <v>35220</v>
      </c>
      <c r="S154" s="197">
        <f>INDEX(MTSP2018!P3:P257,MATCH('Income-Rent Tool'!$N$154,MTSP2018!$A$3:$A$257,0))</f>
        <v>39120</v>
      </c>
      <c r="T154" s="197">
        <f>INDEX(MTSP2018!Q3:Q257,MATCH('Income-Rent Tool'!$N$154,MTSP2018!$A$3:$A$257,0))</f>
        <v>42300</v>
      </c>
      <c r="U154" s="197">
        <f>INDEX(MTSP2018!R3:R257,MATCH('Income-Rent Tool'!$N$154,MTSP2018!$A$3:$A$257,0))</f>
        <v>45420</v>
      </c>
      <c r="V154" s="197">
        <f>INDEX(MTSP2018!S3:S257,MATCH('Income-Rent Tool'!$N$154,MTSP2018!$A$3:$A$257,0))</f>
        <v>48540</v>
      </c>
      <c r="W154" s="197">
        <f>INDEX(MTSP2018!T3:T257,MATCH('Income-Rent Tool'!$N$154,MTSP2018!$A$3:$A$257,0))</f>
        <v>51660</v>
      </c>
      <c r="X154" s="207"/>
      <c r="Y154" s="197">
        <f>IF($B$18=$AU$10,VLOOKUP($N154,MTSP2018!$A$3:$AR$257,E$110+29,FALSE),0)</f>
        <v>28020</v>
      </c>
      <c r="Z154" s="197">
        <f>IF($B$18=$AU$10,VLOOKUP($N154,MTSP2018!$A$3:$AR$257,F$110+29,FALSE),0)</f>
        <v>32040</v>
      </c>
      <c r="AA154" s="197">
        <f>IF($B$18=$AU$10,VLOOKUP($N154,MTSP2018!$A$3:$AR$257,G$110+29,FALSE),0)</f>
        <v>36060</v>
      </c>
      <c r="AB154" s="197">
        <f>IF($B$18=$AU$10,VLOOKUP($N154,MTSP2018!$A$3:$AR$257,H$110+29,FALSE),0)</f>
        <v>40020</v>
      </c>
      <c r="AC154" s="197">
        <f>IF($B$18=$AU$10,VLOOKUP($N154,MTSP2018!$A$3:$AR$257,I$110+29,FALSE),0)</f>
        <v>43260</v>
      </c>
      <c r="AD154" s="197">
        <f>IF($B$18=$AU$10,VLOOKUP($N154,MTSP2018!$A$3:$AR$257,J$110+29,FALSE),0)</f>
        <v>46440</v>
      </c>
      <c r="AE154" s="197">
        <f>IF($B$18=$AU$10,VLOOKUP($N154,MTSP2018!$A$3:$AR$257,K$110+29,FALSE),0)</f>
        <v>49680</v>
      </c>
      <c r="AF154" s="197">
        <f>IF($B$18=$AU$10,VLOOKUP($N154,MTSP2018!$A$3:$AR$257,L$110+29,FALSE),0)</f>
        <v>52860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28380</v>
      </c>
      <c r="F155" s="299">
        <f t="shared" ref="F155:L155" si="182">+MAX(F154,F156)</f>
        <v>32400</v>
      </c>
      <c r="G155" s="299">
        <f t="shared" si="182"/>
        <v>36480</v>
      </c>
      <c r="H155" s="299">
        <f t="shared" si="182"/>
        <v>40500</v>
      </c>
      <c r="I155" s="299">
        <f t="shared" si="182"/>
        <v>43740</v>
      </c>
      <c r="J155" s="299">
        <f t="shared" si="182"/>
        <v>46980</v>
      </c>
      <c r="K155" s="299">
        <f t="shared" si="182"/>
        <v>50220</v>
      </c>
      <c r="L155" s="299">
        <f t="shared" si="182"/>
        <v>53460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28380</v>
      </c>
      <c r="F156" s="301">
        <f t="shared" si="183"/>
        <v>32400</v>
      </c>
      <c r="G156" s="301">
        <f t="shared" si="183"/>
        <v>36480</v>
      </c>
      <c r="H156" s="301">
        <f t="shared" si="183"/>
        <v>40500</v>
      </c>
      <c r="I156" s="301">
        <f t="shared" si="183"/>
        <v>43740</v>
      </c>
      <c r="J156" s="301">
        <f t="shared" si="183"/>
        <v>46980</v>
      </c>
      <c r="K156" s="301">
        <f t="shared" si="183"/>
        <v>50220</v>
      </c>
      <c r="L156" s="301">
        <f t="shared" si="183"/>
        <v>53460</v>
      </c>
      <c r="M156" s="207"/>
      <c r="N156" s="218" t="str">
        <f>CONCATENATE(AU31,$B$11)</f>
        <v>On or After 6/9/2019Grayson</v>
      </c>
      <c r="O156" s="207"/>
      <c r="P156" s="197">
        <f>INDEX(MTSP2019!M3:M257,MATCH('Income-Rent Tool'!$N$156,MTSP2019!$A$3:$A$257,0))</f>
        <v>28380</v>
      </c>
      <c r="Q156" s="197">
        <f>INDEX(MTSP2019!N3:N257,MATCH('Income-Rent Tool'!$N$156,MTSP2019!$A$3:$A$257,0))</f>
        <v>32400</v>
      </c>
      <c r="R156" s="197">
        <f>INDEX(MTSP2019!O3:O257,MATCH('Income-Rent Tool'!$N$156,MTSP2019!$A$3:$A$257,0))</f>
        <v>36480</v>
      </c>
      <c r="S156" s="197">
        <f>INDEX(MTSP2019!P3:P257,MATCH('Income-Rent Tool'!$N$156,MTSP2019!$A$3:$A$257,0))</f>
        <v>40500</v>
      </c>
      <c r="T156" s="197">
        <f>INDEX(MTSP2019!Q3:Q257,MATCH('Income-Rent Tool'!$N$156,MTSP2019!$A$3:$A$257,0))</f>
        <v>43740</v>
      </c>
      <c r="U156" s="197">
        <f>INDEX(MTSP2019!R3:R257,MATCH('Income-Rent Tool'!$N$156,MTSP2019!$A$3:$A$257,0))</f>
        <v>46980</v>
      </c>
      <c r="V156" s="197">
        <f>INDEX(MTSP2019!S3:S257,MATCH('Income-Rent Tool'!$N$156,MTSP2019!$A$3:$A$257,0))</f>
        <v>50220</v>
      </c>
      <c r="W156" s="197">
        <f>INDEX(MTSP2019!T3:T257,MATCH('Income-Rent Tool'!$N$156,MTSP2019!$A$3:$A$257,0))</f>
        <v>53460</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32400</v>
      </c>
      <c r="F159" s="298">
        <f t="shared" si="187"/>
        <v>37040</v>
      </c>
      <c r="G159" s="298">
        <f t="shared" si="187"/>
        <v>41680</v>
      </c>
      <c r="H159" s="298">
        <f t="shared" si="187"/>
        <v>46320</v>
      </c>
      <c r="I159" s="298">
        <f t="shared" si="187"/>
        <v>50000</v>
      </c>
      <c r="J159" s="298">
        <f t="shared" si="187"/>
        <v>53760</v>
      </c>
      <c r="K159" s="298">
        <f t="shared" si="187"/>
        <v>57440</v>
      </c>
      <c r="L159" s="298">
        <f t="shared" si="187"/>
        <v>61120</v>
      </c>
      <c r="N159" s="91" t="str">
        <f>CONCATENATE($AU$10,$B$11,$N$158)</f>
        <v>Before 12-31-2008Grayson80</v>
      </c>
      <c r="P159" s="194">
        <f>VLOOKUP($N159,'pre 12-31-08'!$A$4:$L$1400,E$158+3,FALSE)</f>
        <v>32400</v>
      </c>
      <c r="Q159" s="194">
        <f>VLOOKUP($N159,'pre 12-31-08'!$A$4:$L$1400,F$158+3,FALSE)</f>
        <v>37040</v>
      </c>
      <c r="R159" s="194">
        <f>VLOOKUP($N159,'pre 12-31-08'!$A$4:$L$1400,G$158+3,FALSE)</f>
        <v>41680</v>
      </c>
      <c r="S159" s="194">
        <f>VLOOKUP($N159,'pre 12-31-08'!$A$4:$L$1400,H$158+3,FALSE)</f>
        <v>46320</v>
      </c>
      <c r="T159" s="194">
        <f>VLOOKUP($N159,'pre 12-31-08'!$A$4:$L$1400,I$158+3,FALSE)</f>
        <v>50000</v>
      </c>
      <c r="U159" s="194">
        <f>VLOOKUP($N159,'pre 12-31-08'!$A$4:$L$1400,J$158+3,FALSE)</f>
        <v>53760</v>
      </c>
      <c r="V159" s="194">
        <f>VLOOKUP($N159,'pre 12-31-08'!$A$4:$L$1400,K$158+3,FALSE)</f>
        <v>57440</v>
      </c>
      <c r="W159" s="194">
        <f>VLOOKUP($N159,'pre 12-31-08'!$A$4:$L$1400,L$158+3,FALSE)</f>
        <v>61120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32320</v>
      </c>
      <c r="F160" s="298">
        <f t="shared" si="187"/>
        <v>36880</v>
      </c>
      <c r="G160" s="298">
        <f t="shared" si="187"/>
        <v>41520</v>
      </c>
      <c r="H160" s="298">
        <f t="shared" si="187"/>
        <v>46080</v>
      </c>
      <c r="I160" s="298">
        <f t="shared" si="187"/>
        <v>49840</v>
      </c>
      <c r="J160" s="298">
        <f t="shared" si="187"/>
        <v>53520</v>
      </c>
      <c r="K160" s="298">
        <f t="shared" si="187"/>
        <v>57200</v>
      </c>
      <c r="L160" s="298">
        <f t="shared" si="187"/>
        <v>60880</v>
      </c>
      <c r="N160" s="91" t="str">
        <f>CONCATENATE($AU$11,$B$11,$N$158)</f>
        <v>1/1/2009 - 5/13/2010Grayson80</v>
      </c>
      <c r="P160" s="194">
        <f>VLOOKUP($N160,'1-1-09-5-14-10'!$A$4:$L$1400,E$158+3,FALSE)</f>
        <v>32320</v>
      </c>
      <c r="Q160" s="194">
        <f>VLOOKUP($N160,'1-1-09-5-14-10'!$A$4:$L$1400,F$158+3,FALSE)</f>
        <v>36880</v>
      </c>
      <c r="R160" s="194">
        <f>VLOOKUP($N160,'1-1-09-5-14-10'!$A$4:$L$1400,G$158+3,FALSE)</f>
        <v>41520</v>
      </c>
      <c r="S160" s="194">
        <f>VLOOKUP($N160,'1-1-09-5-14-10'!$A$4:$L$1400,H$158+3,FALSE)</f>
        <v>46080</v>
      </c>
      <c r="T160" s="194">
        <f>VLOOKUP($N160,'1-1-09-5-14-10'!$A$4:$L$1400,I$158+3,FALSE)</f>
        <v>49840</v>
      </c>
      <c r="U160" s="194">
        <f>VLOOKUP($N160,'1-1-09-5-14-10'!$A$4:$L$1400,J$158+3,FALSE)</f>
        <v>53520</v>
      </c>
      <c r="V160" s="194">
        <f>VLOOKUP($N160,'1-1-09-5-14-10'!$A$4:$L$1400,K$158+3,FALSE)</f>
        <v>57200</v>
      </c>
      <c r="W160" s="194">
        <f>VLOOKUP($N160,'1-1-09-5-14-10'!$A$4:$L$1400,L$158+3,FALSE)</f>
        <v>60880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32320</v>
      </c>
      <c r="F161" s="299">
        <f t="shared" si="190"/>
        <v>36880</v>
      </c>
      <c r="G161" s="299">
        <f t="shared" si="190"/>
        <v>41520</v>
      </c>
      <c r="H161" s="299">
        <f t="shared" si="190"/>
        <v>46080</v>
      </c>
      <c r="I161" s="299">
        <f t="shared" si="190"/>
        <v>49840</v>
      </c>
      <c r="J161" s="299">
        <f t="shared" si="190"/>
        <v>53520</v>
      </c>
      <c r="K161" s="299">
        <f t="shared" si="190"/>
        <v>57200</v>
      </c>
      <c r="L161" s="299">
        <f t="shared" si="190"/>
        <v>60880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32320</v>
      </c>
      <c r="F162" s="298">
        <f t="shared" si="191"/>
        <v>36880</v>
      </c>
      <c r="G162" s="298">
        <f t="shared" si="191"/>
        <v>41520</v>
      </c>
      <c r="H162" s="298">
        <f t="shared" si="191"/>
        <v>46080</v>
      </c>
      <c r="I162" s="298">
        <f t="shared" si="191"/>
        <v>49840</v>
      </c>
      <c r="J162" s="298">
        <f t="shared" si="191"/>
        <v>53520</v>
      </c>
      <c r="K162" s="298">
        <f t="shared" si="191"/>
        <v>57200</v>
      </c>
      <c r="L162" s="298">
        <f t="shared" si="191"/>
        <v>60880</v>
      </c>
      <c r="M162" s="6"/>
      <c r="N162" s="91" t="str">
        <f>CONCATENATE($AU$13,$B$11,$N$158)</f>
        <v>6/29/2010 - 5/30/2011Grayson80</v>
      </c>
      <c r="O162" s="6"/>
      <c r="P162" s="194">
        <f>VLOOKUP($N162,'5-14-10-5-31-11'!$A$4:$L$1400,E$158+3,FALSE)</f>
        <v>32320</v>
      </c>
      <c r="Q162" s="194">
        <f>VLOOKUP($N162,'5-14-10-5-31-11'!$A$4:$L$1400,F$158+3,FALSE)</f>
        <v>36880</v>
      </c>
      <c r="R162" s="194">
        <f>VLOOKUP($N162,'5-14-10-5-31-11'!$A$4:$L$1400,G$158+3,FALSE)</f>
        <v>41520</v>
      </c>
      <c r="S162" s="194">
        <f>VLOOKUP($N162,'5-14-10-5-31-11'!$A$4:$L$1400,H$158+3,FALSE)</f>
        <v>46080</v>
      </c>
      <c r="T162" s="194">
        <f>VLOOKUP($N162,'5-14-10-5-31-11'!$A$4:$L$1400,I$158+3,FALSE)</f>
        <v>49840</v>
      </c>
      <c r="U162" s="194">
        <f>VLOOKUP($N162,'5-14-10-5-31-11'!$A$4:$L$1400,J$158+3,FALSE)</f>
        <v>53520</v>
      </c>
      <c r="V162" s="194">
        <f>VLOOKUP($N162,'5-14-10-5-31-11'!$A$4:$L$1400,K$158+3,FALSE)</f>
        <v>57200</v>
      </c>
      <c r="W162" s="194">
        <f>VLOOKUP($N162,'5-14-10-5-31-11'!$A$4:$L$1400,L$158+3,FALSE)</f>
        <v>60880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33040</v>
      </c>
      <c r="F163" s="299">
        <f t="shared" si="193"/>
        <v>37760</v>
      </c>
      <c r="G163" s="299">
        <f t="shared" si="193"/>
        <v>42480</v>
      </c>
      <c r="H163" s="299">
        <f t="shared" si="193"/>
        <v>47200</v>
      </c>
      <c r="I163" s="299">
        <f t="shared" si="193"/>
        <v>51040</v>
      </c>
      <c r="J163" s="299">
        <f t="shared" si="193"/>
        <v>54800</v>
      </c>
      <c r="K163" s="299">
        <f t="shared" si="193"/>
        <v>58560</v>
      </c>
      <c r="L163" s="299">
        <f t="shared" si="193"/>
        <v>62320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33040</v>
      </c>
      <c r="F164" s="298">
        <f t="shared" si="194"/>
        <v>37760</v>
      </c>
      <c r="G164" s="298">
        <f t="shared" si="194"/>
        <v>42480</v>
      </c>
      <c r="H164" s="298">
        <f t="shared" si="194"/>
        <v>47200</v>
      </c>
      <c r="I164" s="298">
        <f t="shared" si="194"/>
        <v>51040</v>
      </c>
      <c r="J164" s="298">
        <f t="shared" si="194"/>
        <v>54800</v>
      </c>
      <c r="K164" s="298">
        <f t="shared" si="194"/>
        <v>58560</v>
      </c>
      <c r="L164" s="298">
        <f t="shared" si="194"/>
        <v>62320</v>
      </c>
      <c r="M164" s="6"/>
      <c r="N164" s="168" t="s">
        <v>2103</v>
      </c>
      <c r="O164" s="6"/>
      <c r="P164" s="194">
        <f t="shared" ref="P164:W164" si="195">+P116/5*8</f>
        <v>33040</v>
      </c>
      <c r="Q164" s="194">
        <f t="shared" si="195"/>
        <v>37760</v>
      </c>
      <c r="R164" s="194">
        <f t="shared" si="195"/>
        <v>42480</v>
      </c>
      <c r="S164" s="194">
        <f t="shared" si="195"/>
        <v>47200</v>
      </c>
      <c r="T164" s="194">
        <f t="shared" si="195"/>
        <v>51040</v>
      </c>
      <c r="U164" s="194">
        <f t="shared" si="195"/>
        <v>54800</v>
      </c>
      <c r="V164" s="194">
        <f t="shared" si="195"/>
        <v>58560</v>
      </c>
      <c r="W164" s="194">
        <f t="shared" si="195"/>
        <v>62320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33520</v>
      </c>
      <c r="F165" s="299">
        <f t="shared" si="198"/>
        <v>38320</v>
      </c>
      <c r="G165" s="299">
        <f t="shared" si="198"/>
        <v>43120</v>
      </c>
      <c r="H165" s="299">
        <f t="shared" si="198"/>
        <v>47840</v>
      </c>
      <c r="I165" s="299">
        <f t="shared" si="198"/>
        <v>51680</v>
      </c>
      <c r="J165" s="299">
        <f t="shared" si="198"/>
        <v>55520</v>
      </c>
      <c r="K165" s="299">
        <f t="shared" si="198"/>
        <v>59360</v>
      </c>
      <c r="L165" s="299">
        <f t="shared" si="198"/>
        <v>63200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33520</v>
      </c>
      <c r="F166" s="298">
        <f t="shared" si="200"/>
        <v>38320</v>
      </c>
      <c r="G166" s="298">
        <f t="shared" si="200"/>
        <v>43120</v>
      </c>
      <c r="H166" s="298">
        <f t="shared" si="200"/>
        <v>47840</v>
      </c>
      <c r="I166" s="298">
        <f t="shared" si="200"/>
        <v>51680</v>
      </c>
      <c r="J166" s="298">
        <f t="shared" si="200"/>
        <v>55520</v>
      </c>
      <c r="K166" s="298">
        <f t="shared" si="200"/>
        <v>59360</v>
      </c>
      <c r="L166" s="298">
        <f t="shared" si="200"/>
        <v>63200</v>
      </c>
      <c r="N166" s="168" t="s">
        <v>2105</v>
      </c>
      <c r="P166" s="194">
        <f t="shared" ref="P166:W166" si="201">+P118/5*8</f>
        <v>33520</v>
      </c>
      <c r="Q166" s="194">
        <f t="shared" si="201"/>
        <v>38320</v>
      </c>
      <c r="R166" s="194">
        <f t="shared" si="201"/>
        <v>43120</v>
      </c>
      <c r="S166" s="194">
        <f t="shared" si="201"/>
        <v>47840</v>
      </c>
      <c r="T166" s="194">
        <f t="shared" si="201"/>
        <v>51680</v>
      </c>
      <c r="U166" s="194">
        <f t="shared" si="201"/>
        <v>55520</v>
      </c>
      <c r="V166" s="194">
        <f t="shared" si="201"/>
        <v>59360</v>
      </c>
      <c r="W166" s="194">
        <f t="shared" si="201"/>
        <v>63200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34560</v>
      </c>
      <c r="F167" s="299">
        <f t="shared" si="204"/>
        <v>39520</v>
      </c>
      <c r="G167" s="299">
        <f t="shared" si="204"/>
        <v>44480</v>
      </c>
      <c r="H167" s="299">
        <f t="shared" si="204"/>
        <v>49360</v>
      </c>
      <c r="I167" s="299">
        <f t="shared" si="204"/>
        <v>53360</v>
      </c>
      <c r="J167" s="299">
        <f t="shared" si="204"/>
        <v>57280</v>
      </c>
      <c r="K167" s="299">
        <f t="shared" si="204"/>
        <v>61280</v>
      </c>
      <c r="L167" s="299">
        <f t="shared" si="204"/>
        <v>65200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34560</v>
      </c>
      <c r="F168" s="298">
        <f t="shared" si="205"/>
        <v>39520</v>
      </c>
      <c r="G168" s="298">
        <f t="shared" si="205"/>
        <v>44480</v>
      </c>
      <c r="H168" s="298">
        <f t="shared" si="205"/>
        <v>49360</v>
      </c>
      <c r="I168" s="298">
        <f t="shared" si="205"/>
        <v>53360</v>
      </c>
      <c r="J168" s="298">
        <f t="shared" si="205"/>
        <v>57280</v>
      </c>
      <c r="K168" s="298">
        <f t="shared" si="205"/>
        <v>61280</v>
      </c>
      <c r="L168" s="298">
        <f t="shared" si="205"/>
        <v>65200</v>
      </c>
      <c r="N168" s="168" t="s">
        <v>2123</v>
      </c>
      <c r="P168" s="194">
        <f t="shared" ref="P168:W168" si="206">+P120/5*8</f>
        <v>34560</v>
      </c>
      <c r="Q168" s="194">
        <f t="shared" si="206"/>
        <v>39520</v>
      </c>
      <c r="R168" s="194">
        <f t="shared" si="206"/>
        <v>44480</v>
      </c>
      <c r="S168" s="194">
        <f t="shared" si="206"/>
        <v>49360</v>
      </c>
      <c r="T168" s="194">
        <f t="shared" si="206"/>
        <v>53360</v>
      </c>
      <c r="U168" s="194">
        <f t="shared" si="206"/>
        <v>57280</v>
      </c>
      <c r="V168" s="194">
        <f t="shared" si="206"/>
        <v>61280</v>
      </c>
      <c r="W168" s="194">
        <f t="shared" si="206"/>
        <v>65200</v>
      </c>
      <c r="Y168" s="194">
        <f t="shared" ref="Y168:AF168" si="207">+Y120/5*8</f>
        <v>0</v>
      </c>
      <c r="Z168" s="194">
        <f t="shared" si="207"/>
        <v>0</v>
      </c>
      <c r="AA168" s="194">
        <f t="shared" si="207"/>
        <v>0</v>
      </c>
      <c r="AB168" s="194">
        <f t="shared" si="207"/>
        <v>0</v>
      </c>
      <c r="AC168" s="194">
        <f t="shared" si="207"/>
        <v>0</v>
      </c>
      <c r="AD168" s="194">
        <f t="shared" si="207"/>
        <v>0</v>
      </c>
      <c r="AE168" s="194">
        <f t="shared" si="207"/>
        <v>0</v>
      </c>
      <c r="AF168" s="194">
        <f t="shared" si="207"/>
        <v>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34560</v>
      </c>
      <c r="F169" s="299">
        <f t="shared" si="209"/>
        <v>39520</v>
      </c>
      <c r="G169" s="299">
        <f t="shared" si="209"/>
        <v>44480</v>
      </c>
      <c r="H169" s="299">
        <f t="shared" si="209"/>
        <v>49360</v>
      </c>
      <c r="I169" s="299">
        <f t="shared" si="209"/>
        <v>53360</v>
      </c>
      <c r="J169" s="299">
        <f t="shared" si="209"/>
        <v>57280</v>
      </c>
      <c r="K169" s="299">
        <f t="shared" si="209"/>
        <v>61280</v>
      </c>
      <c r="L169" s="299">
        <f t="shared" si="209"/>
        <v>65200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34560</v>
      </c>
      <c r="F170" s="298">
        <f t="shared" si="210"/>
        <v>39520</v>
      </c>
      <c r="G170" s="298">
        <f t="shared" si="210"/>
        <v>44480</v>
      </c>
      <c r="H170" s="298">
        <f t="shared" si="210"/>
        <v>49360</v>
      </c>
      <c r="I170" s="298">
        <f t="shared" si="210"/>
        <v>53360</v>
      </c>
      <c r="J170" s="298">
        <f t="shared" si="210"/>
        <v>57280</v>
      </c>
      <c r="K170" s="298">
        <f t="shared" si="210"/>
        <v>61280</v>
      </c>
      <c r="L170" s="298">
        <f t="shared" si="210"/>
        <v>65200</v>
      </c>
      <c r="N170" s="95" t="s">
        <v>2187</v>
      </c>
      <c r="P170" s="194">
        <f t="shared" ref="P170:W170" si="211">+P122/5*8</f>
        <v>32880</v>
      </c>
      <c r="Q170" s="194">
        <f t="shared" si="211"/>
        <v>37600</v>
      </c>
      <c r="R170" s="194">
        <f t="shared" si="211"/>
        <v>42320</v>
      </c>
      <c r="S170" s="194">
        <f t="shared" si="211"/>
        <v>46960</v>
      </c>
      <c r="T170" s="194">
        <f t="shared" si="211"/>
        <v>50720</v>
      </c>
      <c r="U170" s="194">
        <f t="shared" si="211"/>
        <v>54480</v>
      </c>
      <c r="V170" s="194">
        <f t="shared" si="211"/>
        <v>58240</v>
      </c>
      <c r="W170" s="194">
        <f t="shared" si="211"/>
        <v>62000</v>
      </c>
      <c r="Y170" s="194">
        <f t="shared" ref="Y170:AF170" si="212">+Y122/5*8</f>
        <v>34560</v>
      </c>
      <c r="Z170" s="194">
        <f t="shared" si="212"/>
        <v>39520</v>
      </c>
      <c r="AA170" s="194">
        <f t="shared" si="212"/>
        <v>44480</v>
      </c>
      <c r="AB170" s="194">
        <f t="shared" si="212"/>
        <v>49360</v>
      </c>
      <c r="AC170" s="194">
        <f t="shared" si="212"/>
        <v>53360</v>
      </c>
      <c r="AD170" s="194">
        <f t="shared" si="212"/>
        <v>57280</v>
      </c>
      <c r="AE170" s="194">
        <f t="shared" si="212"/>
        <v>61280</v>
      </c>
      <c r="AF170" s="194">
        <f t="shared" si="212"/>
        <v>65200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35120</v>
      </c>
      <c r="F171" s="299">
        <f t="shared" ref="F171:L171" si="214">+MAX(F170,F172)</f>
        <v>40080</v>
      </c>
      <c r="G171" s="299">
        <f t="shared" si="214"/>
        <v>45120</v>
      </c>
      <c r="H171" s="299">
        <f t="shared" si="214"/>
        <v>50080</v>
      </c>
      <c r="I171" s="299">
        <f t="shared" si="214"/>
        <v>54160</v>
      </c>
      <c r="J171" s="299">
        <f t="shared" si="214"/>
        <v>58160</v>
      </c>
      <c r="K171" s="299">
        <f t="shared" si="214"/>
        <v>62160</v>
      </c>
      <c r="L171" s="299">
        <f t="shared" si="214"/>
        <v>66160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35120</v>
      </c>
      <c r="F172" s="300">
        <f t="shared" si="215"/>
        <v>40080</v>
      </c>
      <c r="G172" s="300">
        <f t="shared" si="215"/>
        <v>45120</v>
      </c>
      <c r="H172" s="300">
        <f t="shared" si="215"/>
        <v>50080</v>
      </c>
      <c r="I172" s="300">
        <f t="shared" si="215"/>
        <v>54160</v>
      </c>
      <c r="J172" s="300">
        <f t="shared" si="215"/>
        <v>58160</v>
      </c>
      <c r="K172" s="300">
        <f t="shared" si="215"/>
        <v>62160</v>
      </c>
      <c r="L172" s="300">
        <f t="shared" si="215"/>
        <v>66160</v>
      </c>
      <c r="N172" s="95" t="s">
        <v>2226</v>
      </c>
      <c r="P172" s="194">
        <f t="shared" ref="P172:W172" si="216">+P124/5*8</f>
        <v>34800</v>
      </c>
      <c r="Q172" s="194">
        <f t="shared" si="216"/>
        <v>39760</v>
      </c>
      <c r="R172" s="194">
        <f t="shared" si="216"/>
        <v>44720</v>
      </c>
      <c r="S172" s="194">
        <f t="shared" si="216"/>
        <v>49680</v>
      </c>
      <c r="T172" s="194">
        <f t="shared" si="216"/>
        <v>53680</v>
      </c>
      <c r="U172" s="194">
        <f t="shared" si="216"/>
        <v>57680</v>
      </c>
      <c r="V172" s="194">
        <f t="shared" si="216"/>
        <v>61680</v>
      </c>
      <c r="W172" s="194">
        <f t="shared" si="216"/>
        <v>65600</v>
      </c>
      <c r="Y172" s="194">
        <f t="shared" ref="Y172:AF172" si="217">+Y124/5*8</f>
        <v>35120</v>
      </c>
      <c r="Z172" s="194">
        <f t="shared" si="217"/>
        <v>40080</v>
      </c>
      <c r="AA172" s="194">
        <f t="shared" si="217"/>
        <v>45120</v>
      </c>
      <c r="AB172" s="194">
        <f t="shared" si="217"/>
        <v>50080</v>
      </c>
      <c r="AC172" s="194">
        <f t="shared" si="217"/>
        <v>54160</v>
      </c>
      <c r="AD172" s="194">
        <f t="shared" si="217"/>
        <v>58160</v>
      </c>
      <c r="AE172" s="194">
        <f t="shared" si="217"/>
        <v>62160</v>
      </c>
      <c r="AF172" s="194">
        <f t="shared" si="217"/>
        <v>66160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35120</v>
      </c>
      <c r="F173" s="299">
        <f t="shared" ref="F173:L173" si="219">+MAX(F172,F174)</f>
        <v>40080</v>
      </c>
      <c r="G173" s="299">
        <f t="shared" si="219"/>
        <v>45120</v>
      </c>
      <c r="H173" s="299">
        <f t="shared" si="219"/>
        <v>50080</v>
      </c>
      <c r="I173" s="299">
        <f t="shared" si="219"/>
        <v>54160</v>
      </c>
      <c r="J173" s="299">
        <f t="shared" si="219"/>
        <v>58160</v>
      </c>
      <c r="K173" s="299">
        <f t="shared" si="219"/>
        <v>62160</v>
      </c>
      <c r="L173" s="299">
        <f t="shared" si="219"/>
        <v>66160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35120</v>
      </c>
      <c r="F174" s="300">
        <f t="shared" si="220"/>
        <v>40080</v>
      </c>
      <c r="G174" s="300">
        <f t="shared" si="220"/>
        <v>45120</v>
      </c>
      <c r="H174" s="300">
        <f t="shared" si="220"/>
        <v>50080</v>
      </c>
      <c r="I174" s="300">
        <f t="shared" si="220"/>
        <v>54160</v>
      </c>
      <c r="J174" s="300">
        <f t="shared" si="220"/>
        <v>58160</v>
      </c>
      <c r="K174" s="300">
        <f t="shared" si="220"/>
        <v>62160</v>
      </c>
      <c r="L174" s="300">
        <f t="shared" si="220"/>
        <v>66160</v>
      </c>
      <c r="N174" s="95" t="s">
        <v>2266</v>
      </c>
      <c r="P174" s="194">
        <f t="shared" ref="P174:W174" si="221">+P126*1.6</f>
        <v>33040</v>
      </c>
      <c r="Q174" s="194">
        <f t="shared" si="221"/>
        <v>37760</v>
      </c>
      <c r="R174" s="194">
        <f t="shared" si="221"/>
        <v>42480</v>
      </c>
      <c r="S174" s="194">
        <f t="shared" si="221"/>
        <v>47200</v>
      </c>
      <c r="T174" s="194">
        <f t="shared" si="221"/>
        <v>51040</v>
      </c>
      <c r="U174" s="194">
        <f t="shared" si="221"/>
        <v>54800</v>
      </c>
      <c r="V174" s="194">
        <f t="shared" si="221"/>
        <v>58560</v>
      </c>
      <c r="W174" s="194">
        <f t="shared" si="221"/>
        <v>62320</v>
      </c>
      <c r="Y174" s="194">
        <f t="shared" ref="Y174:AF174" si="222">+Y126*1.6</f>
        <v>35120</v>
      </c>
      <c r="Z174" s="194">
        <f t="shared" si="222"/>
        <v>40080</v>
      </c>
      <c r="AA174" s="194">
        <f t="shared" si="222"/>
        <v>45120</v>
      </c>
      <c r="AB174" s="194">
        <f t="shared" si="222"/>
        <v>50080</v>
      </c>
      <c r="AC174" s="194">
        <f t="shared" si="222"/>
        <v>54160</v>
      </c>
      <c r="AD174" s="194">
        <f t="shared" si="222"/>
        <v>58160</v>
      </c>
      <c r="AE174" s="194">
        <f t="shared" si="222"/>
        <v>62160</v>
      </c>
      <c r="AF174" s="194">
        <f t="shared" si="222"/>
        <v>66160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37360</v>
      </c>
      <c r="F175" s="299">
        <f t="shared" ref="F175:L179" si="224">+MAX(F174,F176)</f>
        <v>42720</v>
      </c>
      <c r="G175" s="299">
        <f t="shared" si="224"/>
        <v>48080</v>
      </c>
      <c r="H175" s="299">
        <f t="shared" si="224"/>
        <v>53360</v>
      </c>
      <c r="I175" s="299">
        <f t="shared" si="224"/>
        <v>57680</v>
      </c>
      <c r="J175" s="299">
        <f t="shared" si="224"/>
        <v>61920</v>
      </c>
      <c r="K175" s="299">
        <f t="shared" si="224"/>
        <v>66240</v>
      </c>
      <c r="L175" s="299">
        <f t="shared" si="224"/>
        <v>70480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37360</v>
      </c>
      <c r="F176" s="301">
        <f t="shared" ref="F176:L176" si="225">+MAX(Q176,Z176,AJ176)</f>
        <v>42720</v>
      </c>
      <c r="G176" s="301">
        <f t="shared" si="225"/>
        <v>48080</v>
      </c>
      <c r="H176" s="301">
        <f t="shared" si="225"/>
        <v>53360</v>
      </c>
      <c r="I176" s="301">
        <f t="shared" si="225"/>
        <v>57680</v>
      </c>
      <c r="J176" s="301">
        <f t="shared" si="225"/>
        <v>61920</v>
      </c>
      <c r="K176" s="301">
        <f t="shared" si="225"/>
        <v>66240</v>
      </c>
      <c r="L176" s="301">
        <f t="shared" si="225"/>
        <v>70480</v>
      </c>
      <c r="M176" s="207"/>
      <c r="N176" s="218" t="s">
        <v>2379</v>
      </c>
      <c r="O176" s="207"/>
      <c r="P176" s="197">
        <f t="shared" ref="P176:W176" si="226">+P128*1.6</f>
        <v>35360</v>
      </c>
      <c r="Q176" s="197">
        <f t="shared" si="226"/>
        <v>40400</v>
      </c>
      <c r="R176" s="197">
        <f t="shared" si="226"/>
        <v>45440</v>
      </c>
      <c r="S176" s="197">
        <f t="shared" si="226"/>
        <v>50480</v>
      </c>
      <c r="T176" s="197">
        <f t="shared" si="226"/>
        <v>54560</v>
      </c>
      <c r="U176" s="197">
        <f t="shared" si="226"/>
        <v>58560</v>
      </c>
      <c r="V176" s="197">
        <f t="shared" si="226"/>
        <v>62640</v>
      </c>
      <c r="W176" s="197">
        <f t="shared" si="226"/>
        <v>66640</v>
      </c>
      <c r="X176" s="207"/>
      <c r="Y176" s="197">
        <f t="shared" ref="Y176:AF176" si="227">+Y128*1.6</f>
        <v>37360</v>
      </c>
      <c r="Z176" s="197">
        <f t="shared" si="227"/>
        <v>42720</v>
      </c>
      <c r="AA176" s="197">
        <f t="shared" si="227"/>
        <v>48080</v>
      </c>
      <c r="AB176" s="197">
        <f t="shared" si="227"/>
        <v>53360</v>
      </c>
      <c r="AC176" s="197">
        <f t="shared" si="227"/>
        <v>57680</v>
      </c>
      <c r="AD176" s="197">
        <f t="shared" si="227"/>
        <v>61920</v>
      </c>
      <c r="AE176" s="197">
        <f t="shared" si="227"/>
        <v>66240</v>
      </c>
      <c r="AF176" s="197">
        <f t="shared" si="227"/>
        <v>70480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37360</v>
      </c>
      <c r="F177" s="299">
        <f t="shared" si="224"/>
        <v>42720</v>
      </c>
      <c r="G177" s="299">
        <f t="shared" si="224"/>
        <v>48080</v>
      </c>
      <c r="H177" s="299">
        <f t="shared" si="224"/>
        <v>53360</v>
      </c>
      <c r="I177" s="299">
        <f t="shared" si="224"/>
        <v>57680</v>
      </c>
      <c r="J177" s="299">
        <f t="shared" si="224"/>
        <v>61920</v>
      </c>
      <c r="K177" s="299">
        <f t="shared" si="224"/>
        <v>66240</v>
      </c>
      <c r="L177" s="299">
        <f t="shared" si="224"/>
        <v>70480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37360</v>
      </c>
      <c r="F178" s="301">
        <f t="shared" ref="F178" si="229">+MAX(Q178,Z178,AJ178)</f>
        <v>42720</v>
      </c>
      <c r="G178" s="301">
        <f t="shared" ref="G178" si="230">+MAX(R178,AA178,AK178)</f>
        <v>48080</v>
      </c>
      <c r="H178" s="301">
        <f t="shared" ref="H178" si="231">+MAX(S178,AB178,AL178)</f>
        <v>53360</v>
      </c>
      <c r="I178" s="301">
        <f t="shared" ref="I178" si="232">+MAX(T178,AC178,AM178)</f>
        <v>57680</v>
      </c>
      <c r="J178" s="301">
        <f t="shared" ref="J178" si="233">+MAX(U178,AD178,AN178)</f>
        <v>61920</v>
      </c>
      <c r="K178" s="301">
        <f t="shared" ref="K178" si="234">+MAX(V178,AE178,AO178)</f>
        <v>66240</v>
      </c>
      <c r="L178" s="301">
        <f t="shared" ref="L178" si="235">+MAX(W178,AF178,AP178)</f>
        <v>70480</v>
      </c>
      <c r="M178" s="207"/>
      <c r="N178" s="218" t="s">
        <v>3004</v>
      </c>
      <c r="O178" s="207"/>
      <c r="P178" s="197">
        <f t="shared" ref="P178:W178" si="236">P130*1.6</f>
        <v>36560</v>
      </c>
      <c r="Q178" s="197">
        <f t="shared" si="236"/>
        <v>41760</v>
      </c>
      <c r="R178" s="197">
        <f t="shared" si="236"/>
        <v>46960</v>
      </c>
      <c r="S178" s="197">
        <f t="shared" si="236"/>
        <v>52160</v>
      </c>
      <c r="T178" s="197">
        <f t="shared" si="236"/>
        <v>56400</v>
      </c>
      <c r="U178" s="197">
        <f t="shared" si="236"/>
        <v>60560</v>
      </c>
      <c r="V178" s="197">
        <f t="shared" si="236"/>
        <v>64720</v>
      </c>
      <c r="W178" s="197">
        <f t="shared" si="236"/>
        <v>68880</v>
      </c>
      <c r="X178" s="207"/>
      <c r="Y178" s="197">
        <f t="shared" ref="Y178:AF178" si="237">+Y130*1.6</f>
        <v>37360</v>
      </c>
      <c r="Z178" s="197">
        <f t="shared" si="237"/>
        <v>42720</v>
      </c>
      <c r="AA178" s="197">
        <f t="shared" si="237"/>
        <v>48080</v>
      </c>
      <c r="AB178" s="197">
        <f t="shared" si="237"/>
        <v>53360</v>
      </c>
      <c r="AC178" s="197">
        <f t="shared" si="237"/>
        <v>57680</v>
      </c>
      <c r="AD178" s="197">
        <f t="shared" si="237"/>
        <v>61920</v>
      </c>
      <c r="AE178" s="197">
        <f t="shared" si="237"/>
        <v>66240</v>
      </c>
      <c r="AF178" s="197">
        <f t="shared" si="237"/>
        <v>70480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37840</v>
      </c>
      <c r="F179" s="299">
        <f t="shared" si="224"/>
        <v>43200</v>
      </c>
      <c r="G179" s="299">
        <f t="shared" si="224"/>
        <v>48640</v>
      </c>
      <c r="H179" s="299">
        <f t="shared" si="224"/>
        <v>54000</v>
      </c>
      <c r="I179" s="299">
        <f t="shared" si="224"/>
        <v>58320</v>
      </c>
      <c r="J179" s="299">
        <f t="shared" si="224"/>
        <v>62640</v>
      </c>
      <c r="K179" s="299">
        <f t="shared" si="224"/>
        <v>66960</v>
      </c>
      <c r="L179" s="299">
        <f t="shared" si="224"/>
        <v>71280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37840</v>
      </c>
      <c r="F180" s="301">
        <f t="shared" ref="F180" si="239">+MAX(Q180,Z180,AJ180)</f>
        <v>43200</v>
      </c>
      <c r="G180" s="301">
        <f t="shared" ref="G180" si="240">+MAX(R180,AA180,AK180)</f>
        <v>48640</v>
      </c>
      <c r="H180" s="301">
        <f t="shared" ref="H180" si="241">+MAX(S180,AB180,AL180)</f>
        <v>54000</v>
      </c>
      <c r="I180" s="301">
        <f t="shared" ref="I180" si="242">+MAX(T180,AC180,AM180)</f>
        <v>58320</v>
      </c>
      <c r="J180" s="301">
        <f t="shared" ref="J180" si="243">+MAX(U180,AD180,AN180)</f>
        <v>62640</v>
      </c>
      <c r="K180" s="301">
        <f t="shared" ref="K180" si="244">+MAX(V180,AE180,AO180)</f>
        <v>66960</v>
      </c>
      <c r="L180" s="301">
        <f t="shared" ref="L180" si="245">+MAX(W180,AF180,AP180)</f>
        <v>71280</v>
      </c>
      <c r="M180" s="207"/>
      <c r="N180" s="218" t="s">
        <v>2968</v>
      </c>
      <c r="O180" s="207"/>
      <c r="P180" s="197">
        <f>P132*1.6</f>
        <v>37840</v>
      </c>
      <c r="Q180" s="197">
        <f t="shared" ref="Q180:W180" si="246">Q132*1.6</f>
        <v>43200</v>
      </c>
      <c r="R180" s="197">
        <f t="shared" si="246"/>
        <v>48640</v>
      </c>
      <c r="S180" s="197">
        <f t="shared" si="246"/>
        <v>54000</v>
      </c>
      <c r="T180" s="197">
        <f t="shared" si="246"/>
        <v>58320</v>
      </c>
      <c r="U180" s="197">
        <f t="shared" si="246"/>
        <v>62640</v>
      </c>
      <c r="V180" s="197">
        <f t="shared" si="246"/>
        <v>66960</v>
      </c>
      <c r="W180" s="197">
        <f t="shared" si="246"/>
        <v>71280</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12-31-2008Grayson60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1/1/2009 - 5/13/2010Grayson60</v>
      </c>
      <c r="P184" s="38"/>
      <c r="Q184" s="30"/>
      <c r="R184" s="30"/>
      <c r="S184" s="304">
        <f>+S112/5*10</f>
        <v>57600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57600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6/29/2010 - 5/30/2011Grayson60</v>
      </c>
      <c r="P186" s="38"/>
      <c r="Q186" s="30"/>
      <c r="R186" s="30"/>
      <c r="S186" s="304">
        <f>+S114/5*10</f>
        <v>57600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59000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7/16/2011 - 11/31/2011Grayson</v>
      </c>
      <c r="P188" s="38"/>
      <c r="Q188" s="30"/>
      <c r="R188" s="30"/>
      <c r="S188" s="304">
        <f>VLOOKUP($N188,'6-1-11'!$A$4:$T$257,E$134+3,FALSE)</f>
        <v>59000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59800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1/16/2012 - 12/3/2012Grayson</v>
      </c>
      <c r="P190" s="38"/>
      <c r="Q190" s="30"/>
      <c r="R190" s="30"/>
      <c r="S190" s="304">
        <f>VLOOKUP($N190,'12-1-11'!$A$4:$T$257,E$134+3,FALSE)</f>
        <v>59800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61700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1/18/2013 - 12/17/2013Grayson</v>
      </c>
      <c r="P192" s="38"/>
      <c r="Q192" s="30"/>
      <c r="R192" s="30"/>
      <c r="S192" s="304">
        <f>VLOOKUP($N192,'2013 placeholder'!$A$4:$T$257,E$134+3,FALSE)</f>
        <v>61700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61700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2/1/2014 - 3/5/2015Grayson</v>
      </c>
      <c r="P194" s="38"/>
      <c r="Q194" s="30"/>
      <c r="R194" s="30"/>
      <c r="S194" s="307">
        <f>VLOOKUP(N194,'2014 placeholder'!A4:D257,E134+3,FALSE)</f>
        <v>58700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62600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4/21/2015 - 3/27/2016Grayson</v>
      </c>
      <c r="P196" s="38"/>
      <c r="Q196" s="30"/>
      <c r="R196" s="30"/>
      <c r="S196" s="307">
        <f>VLOOKUP(N196,'2015 MTSP Limits'!A4:D257,E134+3,FALSE)</f>
        <v>62600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62600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5/13/2016 - 4/13/2017Grayson</v>
      </c>
      <c r="P198" s="38"/>
      <c r="Q198" s="30"/>
      <c r="R198" s="30"/>
      <c r="S198" s="307">
        <f>VLOOKUP(N198,MTSP2016!A4:D257,E134+3,FALSE)</f>
        <v>56200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66700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5/30/2017 - 3/31/2018Grayson</v>
      </c>
      <c r="P200" s="38"/>
      <c r="Q200" s="30"/>
      <c r="R200" s="30"/>
      <c r="S200" s="307">
        <f>VLOOKUP($N200,MTSP2017!A4:D257,E134+3,FALSE)</f>
        <v>66700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66700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5/17/2018 - 4/23/2018Grayson</v>
      </c>
      <c r="P202" s="38"/>
      <c r="Q202" s="30"/>
      <c r="R202" s="30"/>
      <c r="S202" s="307">
        <f>INDEX(MTSP2018!D3:D257,MATCH('Income-Rent Tool'!N202,MTSP2018!A3:A257,0))</f>
        <v>65200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67500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6/9/2019Grayson</v>
      </c>
      <c r="P204" s="40"/>
      <c r="Q204" s="43"/>
      <c r="R204" s="43"/>
      <c r="S204" s="309">
        <f>INDEX(MTSP2019!D3:D257,MATCH('Income-Rent Tool'!N204,MTSP2019!A3:A257,0))</f>
        <v>67500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13700</v>
      </c>
      <c r="F208" s="65">
        <f>+VLOOKUP($N208,'HOME 2-25-2013'!$A$1:$BH$256,4+F$207,FALSE)</f>
        <v>15650</v>
      </c>
      <c r="G208" s="65">
        <f>+VLOOKUP($N208,'HOME 2-25-2013'!$A$1:$BH$256,4+G$207,FALSE)</f>
        <v>17600</v>
      </c>
      <c r="H208" s="65">
        <f>+VLOOKUP($N208,'HOME 2-25-2013'!$A$1:$BH$256,4+H$207,FALSE)</f>
        <v>19550</v>
      </c>
      <c r="I208" s="65">
        <f>+VLOOKUP($N208,'HOME 2-25-2013'!$A$1:$BH$256,4+I$207,FALSE)</f>
        <v>21150</v>
      </c>
      <c r="J208" s="65">
        <f>+VLOOKUP($N208,'HOME 2-25-2013'!$A$1:$BH$256,4+J$207,FALSE)</f>
        <v>22700</v>
      </c>
      <c r="K208" s="65">
        <f>+VLOOKUP($N208,'HOME 2-25-2013'!$A$1:$BH$256,4+K$207,FALSE)</f>
        <v>24250</v>
      </c>
      <c r="L208" s="65">
        <f>+VLOOKUP($N208,'HOME 2-25-2013'!$A$1:$BH$256,4+L$207,FALSE)</f>
        <v>25850</v>
      </c>
      <c r="M208" s="111"/>
      <c r="N208" s="98" t="str">
        <f t="shared" ref="N208:N213" si="250">+B$11</f>
        <v>Grayson</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18280</v>
      </c>
      <c r="F209" s="65">
        <f t="shared" ref="F209:L209" si="251">0.8*F210</f>
        <v>20880</v>
      </c>
      <c r="G209" s="65">
        <f t="shared" si="251"/>
        <v>23480</v>
      </c>
      <c r="H209" s="65">
        <f t="shared" si="251"/>
        <v>26080</v>
      </c>
      <c r="I209" s="65">
        <f t="shared" si="251"/>
        <v>28200</v>
      </c>
      <c r="J209" s="65">
        <f t="shared" si="251"/>
        <v>30280</v>
      </c>
      <c r="K209" s="65">
        <f t="shared" si="251"/>
        <v>32360</v>
      </c>
      <c r="L209" s="65">
        <f t="shared" si="251"/>
        <v>34440</v>
      </c>
      <c r="M209" s="111"/>
      <c r="N209" s="98" t="str">
        <f t="shared" si="250"/>
        <v>Grayson</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22850</v>
      </c>
      <c r="F210" s="65">
        <f>+VLOOKUP($N209,'HOME 2-25-2013'!$A$1:$BH$256,12+F$207,FALSE)</f>
        <v>26100</v>
      </c>
      <c r="G210" s="65">
        <f>+VLOOKUP($N209,'HOME 2-25-2013'!$A$1:$BH$256,12+G$207,FALSE)</f>
        <v>29350</v>
      </c>
      <c r="H210" s="65">
        <f>+VLOOKUP($N209,'HOME 2-25-2013'!$A$1:$BH$256,12+H$207,FALSE)</f>
        <v>32600</v>
      </c>
      <c r="I210" s="65">
        <f>+VLOOKUP($N209,'HOME 2-25-2013'!$A$1:$BH$256,12+I$207,FALSE)</f>
        <v>35250</v>
      </c>
      <c r="J210" s="65">
        <f>+VLOOKUP($N209,'HOME 2-25-2013'!$A$1:$BH$256,12+J$207,FALSE)</f>
        <v>37850</v>
      </c>
      <c r="K210" s="65">
        <f>+VLOOKUP($N209,'HOME 2-25-2013'!$A$1:$BH$256,12+K$207,FALSE)</f>
        <v>40450</v>
      </c>
      <c r="L210" s="65">
        <f>+VLOOKUP($N209,'HOME 2-25-2013'!$A$1:$BH$256,12+L$207,FALSE)</f>
        <v>43050</v>
      </c>
      <c r="M210" s="111"/>
      <c r="N210" s="98" t="str">
        <f t="shared" si="250"/>
        <v>Grayson</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27420</v>
      </c>
      <c r="F211" s="65">
        <f>+VLOOKUP($N210,'HOME 2-25-2013'!$A$1:$BH$256,20+F$207,FALSE)</f>
        <v>31320</v>
      </c>
      <c r="G211" s="65">
        <f>+VLOOKUP($N210,'HOME 2-25-2013'!$A$1:$BH$256,20+G$207,FALSE)</f>
        <v>35220</v>
      </c>
      <c r="H211" s="65">
        <f>+VLOOKUP($N210,'HOME 2-25-2013'!$A$1:$BH$256,20+H$207,FALSE)</f>
        <v>39120</v>
      </c>
      <c r="I211" s="65">
        <f>+VLOOKUP($N210,'HOME 2-25-2013'!$A$1:$BH$256,20+I$207,FALSE)</f>
        <v>42300</v>
      </c>
      <c r="J211" s="65">
        <f>+VLOOKUP($N210,'HOME 2-25-2013'!$A$1:$BH$256,20+J$207,FALSE)</f>
        <v>45420</v>
      </c>
      <c r="K211" s="65">
        <f>+VLOOKUP($N210,'HOME 2-25-2013'!$A$1:$BH$256,20+K$207,FALSE)</f>
        <v>48540</v>
      </c>
      <c r="L211" s="65">
        <f>+VLOOKUP($N210,'HOME 2-25-2013'!$A$1:$BH$256,20+L$207,FALSE)</f>
        <v>51660</v>
      </c>
      <c r="M211" s="111"/>
      <c r="N211" s="98" t="str">
        <f t="shared" si="250"/>
        <v>Grayson</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36550</v>
      </c>
      <c r="F212" s="68">
        <f>+VLOOKUP($N211,'HOME 2-25-2013'!$A$1:$BH$256,28+F$207,FALSE)</f>
        <v>41750</v>
      </c>
      <c r="G212" s="68">
        <f>+VLOOKUP($N211,'HOME 2-25-2013'!$A$1:$BH$256,28+G$207,FALSE)</f>
        <v>46950</v>
      </c>
      <c r="H212" s="68">
        <f>+VLOOKUP($N211,'HOME 2-25-2013'!$A$1:$BH$256,28+H$207,FALSE)</f>
        <v>52150</v>
      </c>
      <c r="I212" s="68">
        <f>+VLOOKUP($N211,'HOME 2-25-2013'!$A$1:$BH$256,28+I$207,FALSE)</f>
        <v>56350</v>
      </c>
      <c r="J212" s="68">
        <f>+VLOOKUP($N211,'HOME 2-25-2013'!$A$1:$BH$256,28+J$207,FALSE)</f>
        <v>60500</v>
      </c>
      <c r="K212" s="68">
        <f>+VLOOKUP($N211,'HOME 2-25-2013'!$A$1:$BH$256,28+K$207,FALSE)</f>
        <v>64700</v>
      </c>
      <c r="L212" s="148">
        <f>+VLOOKUP($N211,'HOME 2-25-2013'!$A$1:$BH$256,28+L$207,FALSE)</f>
        <v>68850</v>
      </c>
      <c r="M212" s="111"/>
      <c r="N212" s="98" t="str">
        <f t="shared" si="250"/>
        <v>Grayson</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Grayson</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342</v>
      </c>
      <c r="F217" s="65">
        <f>ROUNDDOWN(AVERAGE(E208,F208)/12*0.3,0)</f>
        <v>366</v>
      </c>
      <c r="G217" s="65">
        <f>ROUNDDOWN(0.3*G208/12,0)</f>
        <v>440</v>
      </c>
      <c r="H217" s="65">
        <f>ROUNDDOWN(AVERAGE(I208,H208)/12*0.3,0)</f>
        <v>508</v>
      </c>
      <c r="I217" s="65">
        <f>ROUNDDOWN(0.3*J208/12,0)</f>
        <v>567</v>
      </c>
      <c r="J217" s="65">
        <f>ROUNDDOWN(AVERAGE(K208,L208)/12*0.3,0)</f>
        <v>626</v>
      </c>
      <c r="K217" s="53"/>
      <c r="L217" s="54"/>
      <c r="M217" s="111"/>
      <c r="N217" s="98" t="str">
        <f>+B$11</f>
        <v>Grayson</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457</v>
      </c>
      <c r="F218" s="65">
        <f>ROUNDDOWN(AVERAGE(E209,F209)/12*0.3,0)</f>
        <v>489</v>
      </c>
      <c r="G218" s="65">
        <f>ROUNDDOWN(0.3*G209/12,0)</f>
        <v>587</v>
      </c>
      <c r="H218" s="65">
        <f>ROUNDDOWN(AVERAGE(I209,H209)/12*0.3,0)</f>
        <v>678</v>
      </c>
      <c r="I218" s="65">
        <f>ROUNDDOWN(0.3*J209/12,0)</f>
        <v>757</v>
      </c>
      <c r="J218" s="65">
        <f>ROUNDDOWN(AVERAGE(K209,L209)/12*0.3,0)</f>
        <v>835</v>
      </c>
      <c r="K218" s="44"/>
      <c r="L218" s="45"/>
      <c r="M218" s="111"/>
      <c r="N218" s="98" t="str">
        <f>+B$11</f>
        <v>Grayson</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508</v>
      </c>
      <c r="F219" s="65">
        <f>+VLOOKUP($N$226,'2017 HOME rent 6-15-2017'!$A$2:$P$256,6+$E$223,FALSE)</f>
        <v>591</v>
      </c>
      <c r="G219" s="65">
        <f>+VLOOKUP($N$226,'2017 HOME rent 6-15-2017'!$A$2:$P$256,7+$E$223,FALSE)</f>
        <v>710</v>
      </c>
      <c r="H219" s="65">
        <f>+VLOOKUP($N$226,'2017 HOME rent 6-15-2017'!$A$2:$P$256,8+$E$223,FALSE)</f>
        <v>820</v>
      </c>
      <c r="I219" s="65">
        <f>+VLOOKUP($N$226,'2017 HOME rent 6-15-2017'!$A$2:$P$256,9+$E$223,FALSE)</f>
        <v>915</v>
      </c>
      <c r="J219" s="65">
        <f>+VLOOKUP($N$226,'2017 HOME rent 6-15-2017'!$A$2:$P$256,10+$E$223,FALSE)</f>
        <v>1010</v>
      </c>
      <c r="K219" s="44"/>
      <c r="L219" s="45"/>
      <c r="M219" s="111"/>
      <c r="N219" s="98" t="str">
        <f>+B$11</f>
        <v>Grayson</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508</v>
      </c>
      <c r="F220" s="65">
        <f>+VLOOKUP($N$226,'2017 HOME rent 6-15-2017'!$A$2:$P$256,12+$E$223,FALSE)</f>
        <v>625</v>
      </c>
      <c r="G220" s="65">
        <f>+VLOOKUP($N$226,'2017 HOME rent 6-15-2017'!$A$2:$P$256,13+$E$223,FALSE)</f>
        <v>795</v>
      </c>
      <c r="H220" s="65">
        <f>+VLOOKUP($N$226,'2017 HOME rent 6-15-2017'!$A$2:$P$256,14+$E$223,FALSE)</f>
        <v>1034</v>
      </c>
      <c r="I220" s="65">
        <f>+VLOOKUP($N$226,'2017 HOME rent 6-15-2017'!$A$2:$P$256,15+$E$223,FALSE)</f>
        <v>1134</v>
      </c>
      <c r="J220" s="65">
        <f>+VLOOKUP($N$226,'2017 HOME rent 6-15-2017'!$A$2:$P$256,16+$E$223,FALSE)</f>
        <v>1232</v>
      </c>
      <c r="K220" s="44"/>
      <c r="L220" s="45"/>
      <c r="M220" s="111"/>
      <c r="N220" s="98" t="str">
        <f>+B$11</f>
        <v>Grayson</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Grayson</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342</v>
      </c>
      <c r="F224" s="65">
        <f>ROUNDDOWN(AVERAGE(E208,F208)/12*0.3,0)</f>
        <v>366</v>
      </c>
      <c r="G224" s="65">
        <f>ROUNDDOWN(0.3*G208/12,0)</f>
        <v>440</v>
      </c>
      <c r="H224" s="65">
        <f>ROUNDDOWN(AVERAGE(I208,H208)/12*0.3,0)</f>
        <v>508</v>
      </c>
      <c r="I224" s="65">
        <f>ROUNDDOWN(0.3*J208/12,0)</f>
        <v>567</v>
      </c>
      <c r="J224" s="65">
        <f>ROUNDDOWN(AVERAGE(K208,L208)/12*0.3,0)</f>
        <v>626</v>
      </c>
      <c r="K224" s="53"/>
      <c r="L224" s="54"/>
      <c r="M224" s="111"/>
      <c r="N224" s="98" t="str">
        <f>+B$11</f>
        <v>Grayson</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457</v>
      </c>
      <c r="F225" s="65">
        <f>ROUNDDOWN(AVERAGE(E209,F209)/12*0.3,0)</f>
        <v>489</v>
      </c>
      <c r="G225" s="65">
        <f>ROUNDDOWN(0.3*G209/12,0)</f>
        <v>587</v>
      </c>
      <c r="H225" s="65">
        <f>ROUNDDOWN(AVERAGE(I209,H209)/12*0.3,0)</f>
        <v>678</v>
      </c>
      <c r="I225" s="65">
        <f>ROUNDDOWN(0.3*J209/12,0)</f>
        <v>757</v>
      </c>
      <c r="J225" s="65">
        <f>ROUNDDOWN(AVERAGE(K209,L209)/12*0.3,0)</f>
        <v>835</v>
      </c>
      <c r="K225" s="44"/>
      <c r="L225" s="45"/>
      <c r="M225" s="111"/>
      <c r="N225" s="98" t="str">
        <f>+B$11</f>
        <v>Grayson</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568</v>
      </c>
      <c r="F226" s="65">
        <f>+VLOOKUP($N$226,'2018 HOME rent 6-01-2018'!$A$2:$P$256,6+$E$223,FALSE)</f>
        <v>611</v>
      </c>
      <c r="G226" s="65">
        <f>+VLOOKUP($N$226,'2018 HOME rent 6-01-2018'!$A$2:$P$256,7+$E$223,FALSE)</f>
        <v>733</v>
      </c>
      <c r="H226" s="65">
        <f>+VLOOKUP($N$226,'2018 HOME rent 6-01-2018'!$A$2:$P$256,8+$E$223,FALSE)</f>
        <v>848</v>
      </c>
      <c r="I226" s="65">
        <f>+VLOOKUP($N$226,'2018 HOME rent 6-01-2018'!$A$2:$P$256,9+$E$223,FALSE)</f>
        <v>946</v>
      </c>
      <c r="J226" s="65">
        <f>+VLOOKUP($N$226,'2018 HOME rent 6-01-2018'!$A$2:$P$256,10+$E$223,FALSE)</f>
        <v>1043</v>
      </c>
      <c r="K226" s="44"/>
      <c r="L226" s="45"/>
      <c r="M226" s="111"/>
      <c r="N226" s="98" t="str">
        <f>+B$11</f>
        <v>Grayson</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568</v>
      </c>
      <c r="F227" s="65">
        <f>+VLOOKUP($N$226,'2018 HOME rent 6-01-2018'!$A$2:$P$256,12+$E$223,FALSE)</f>
        <v>685</v>
      </c>
      <c r="G227" s="65">
        <f>+VLOOKUP($N$226,'2018 HOME rent 6-01-2018'!$A$2:$P$256,13+$E$223,FALSE)</f>
        <v>868</v>
      </c>
      <c r="H227" s="65">
        <f>+VLOOKUP($N$226,'2018 HOME rent 6-01-2018'!$A$2:$P$256,14+$E$223,FALSE)</f>
        <v>1069</v>
      </c>
      <c r="I227" s="65">
        <f>+VLOOKUP($N$226,'2018 HOME rent 6-01-2018'!$A$2:$P$256,15+$E$223,FALSE)</f>
        <v>1173</v>
      </c>
      <c r="J227" s="65">
        <f>+VLOOKUP($N$226,'2018 HOME rent 6-01-2018'!$A$2:$P$256,16+$E$223,FALSE)</f>
        <v>1276</v>
      </c>
      <c r="K227" s="44"/>
      <c r="L227" s="45"/>
      <c r="M227" s="111"/>
      <c r="N227" s="98" t="str">
        <f>+B$11</f>
        <v>Grayson</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Grayson</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13710</v>
      </c>
      <c r="F232" s="132">
        <f t="shared" ref="F232:L232" si="252">+F234*0.6</f>
        <v>15660</v>
      </c>
      <c r="G232" s="132">
        <f t="shared" si="252"/>
        <v>17610</v>
      </c>
      <c r="H232" s="132">
        <f t="shared" si="252"/>
        <v>19560</v>
      </c>
      <c r="I232" s="132">
        <f t="shared" si="252"/>
        <v>21150</v>
      </c>
      <c r="J232" s="132">
        <f t="shared" si="252"/>
        <v>22710</v>
      </c>
      <c r="K232" s="132">
        <f t="shared" si="252"/>
        <v>24270</v>
      </c>
      <c r="L232" s="132">
        <f t="shared" si="252"/>
        <v>25830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18280</v>
      </c>
      <c r="F233" s="132">
        <f t="shared" ref="F233:L233" si="253">+F234*0.8</f>
        <v>20880</v>
      </c>
      <c r="G233" s="132">
        <f t="shared" si="253"/>
        <v>23480</v>
      </c>
      <c r="H233" s="132">
        <f t="shared" si="253"/>
        <v>26080</v>
      </c>
      <c r="I233" s="132">
        <f t="shared" si="253"/>
        <v>28200</v>
      </c>
      <c r="J233" s="132">
        <f t="shared" si="253"/>
        <v>30280</v>
      </c>
      <c r="K233" s="132">
        <f t="shared" si="253"/>
        <v>32360</v>
      </c>
      <c r="L233" s="132">
        <f t="shared" si="253"/>
        <v>34440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22850</v>
      </c>
      <c r="F234" s="132">
        <f>+VLOOKUP($N234,'NSP12-I'!$A$3:$R$257,2+F$231)</f>
        <v>26100</v>
      </c>
      <c r="G234" s="132">
        <f>+VLOOKUP($N234,'NSP12-I'!$A$3:$R$257,2+G$231)</f>
        <v>29350</v>
      </c>
      <c r="H234" s="132">
        <f>+VLOOKUP($N234,'NSP12-I'!$A$3:$R$257,2+H$231)</f>
        <v>32600</v>
      </c>
      <c r="I234" s="132">
        <f>+VLOOKUP($N234,'NSP12-I'!$A$3:$R$257,2+I$231)</f>
        <v>35250</v>
      </c>
      <c r="J234" s="132">
        <f>+VLOOKUP($N234,'NSP12-I'!$A$3:$R$257,2+J$231)</f>
        <v>37850</v>
      </c>
      <c r="K234" s="132">
        <f>+VLOOKUP($N234,'NSP12-I'!$A$3:$R$257,2+K$231)</f>
        <v>40450</v>
      </c>
      <c r="L234" s="132">
        <f>+VLOOKUP($N234,'NSP12-I'!$A$3:$R$257,2+L$231)</f>
        <v>43050</v>
      </c>
      <c r="M234" s="111"/>
      <c r="N234" s="98" t="str">
        <f>+CONCATENATE($B$11)</f>
        <v>Grayson</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27420</v>
      </c>
      <c r="F235" s="132">
        <f t="shared" ref="F235:L235" si="254">+F234*1.2</f>
        <v>31320</v>
      </c>
      <c r="G235" s="132">
        <f t="shared" si="254"/>
        <v>35220</v>
      </c>
      <c r="H235" s="132">
        <f t="shared" si="254"/>
        <v>39120</v>
      </c>
      <c r="I235" s="132">
        <f t="shared" si="254"/>
        <v>42300</v>
      </c>
      <c r="J235" s="132">
        <f t="shared" si="254"/>
        <v>45420</v>
      </c>
      <c r="K235" s="132">
        <f t="shared" si="254"/>
        <v>48540</v>
      </c>
      <c r="L235" s="132">
        <f t="shared" si="254"/>
        <v>51660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36560</v>
      </c>
      <c r="F236" s="135">
        <f t="shared" ref="F236:L236" si="255">+F234*1.6</f>
        <v>41760</v>
      </c>
      <c r="G236" s="135">
        <f t="shared" si="255"/>
        <v>46960</v>
      </c>
      <c r="H236" s="135">
        <f t="shared" si="255"/>
        <v>52160</v>
      </c>
      <c r="I236" s="135">
        <f t="shared" si="255"/>
        <v>56400</v>
      </c>
      <c r="J236" s="135">
        <f t="shared" si="255"/>
        <v>60560</v>
      </c>
      <c r="K236" s="135">
        <f t="shared" si="255"/>
        <v>64720</v>
      </c>
      <c r="L236" s="135">
        <f t="shared" si="255"/>
        <v>68880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54750</v>
      </c>
      <c r="F237" s="135">
        <f>+VLOOKUP($N237,'NSP12-I'!$A$3:$R$257,10+F$231)</f>
        <v>62600</v>
      </c>
      <c r="G237" s="135">
        <f>+VLOOKUP($N237,'NSP12-I'!$A$3:$R$257,10+G$231)</f>
        <v>70400</v>
      </c>
      <c r="H237" s="135">
        <f>+VLOOKUP($N237,'NSP12-I'!$A$3:$R$257,10+H$231)</f>
        <v>78250</v>
      </c>
      <c r="I237" s="135">
        <f>+VLOOKUP($N237,'NSP12-I'!$A$3:$R$257,10+I$231)</f>
        <v>84500</v>
      </c>
      <c r="J237" s="135">
        <f>+VLOOKUP($N237,'NSP12-I'!$A$3:$R$257,10+J$231)</f>
        <v>90750</v>
      </c>
      <c r="K237" s="135">
        <f>+VLOOKUP($N237,'NSP12-I'!$A$3:$R$257,10+K$231)</f>
        <v>97000</v>
      </c>
      <c r="L237" s="135">
        <f>+VLOOKUP($N237,'NSP12-I'!$A$3:$R$257,10+L$231)</f>
        <v>103300</v>
      </c>
      <c r="M237" s="113"/>
      <c r="N237" s="114" t="str">
        <f>+CONCATENATE($B$11)</f>
        <v>Grayson</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6850</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13700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Grayson</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171</v>
      </c>
      <c r="F254" s="265">
        <f t="shared" ref="F254:J254" si="258">ROUNDUP(F255/2,0)</f>
        <v>183</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342</v>
      </c>
      <c r="F255" s="251">
        <f>INDEX(NHTF2018!Q4:Q259,MATCH($N$250, NHTF2018!$A$4:$A$259, 0))</f>
        <v>366</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Grayson</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2019-05-08T22:29:30Z</cp:lastPrinted>
  <dcterms:created xsi:type="dcterms:W3CDTF">2011-06-01T13:01:36Z</dcterms:created>
  <dcterms:modified xsi:type="dcterms:W3CDTF">2019-05-08T22:36:16Z</dcterms:modified>
</cp:coreProperties>
</file>