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D26C30CE-9938-4BD7-B94D-B73290BFFC66}" xr6:coauthVersionLast="32" xr6:coauthVersionMax="32" xr10:uidLastSave="{00000000-0000-0000-0000-000000000000}"/>
  <workbookProtection workbookPassword="88EA" lockStructure="1"/>
  <bookViews>
    <workbookView xWindow="0" yWindow="0" windowWidth="28800" windowHeight="12225"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62913"/>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B140" i="1" s="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T142" i="1" l="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L161" i="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J27" i="1" l="1"/>
  <c r="H28" i="1"/>
  <c r="F28" i="1"/>
  <c r="J28" i="1"/>
  <c r="F29" i="1"/>
  <c r="H26" i="1"/>
  <c r="F27" i="1"/>
  <c r="H29" i="1"/>
  <c r="J29" i="1"/>
  <c r="F26" i="1"/>
  <c r="H27" i="1"/>
  <c r="H31" i="1"/>
  <c r="J31" i="1"/>
  <c r="E31" i="1"/>
  <c r="F31" i="1"/>
  <c r="E27" i="1"/>
  <c r="E26" i="1"/>
  <c r="E28" i="1"/>
  <c r="E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s>
  <commentList>
    <comment ref="E63"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xr:uid="{00000000-0006-0000-0000-000002000000}">
      <text>
        <r>
          <rPr>
            <b/>
            <sz val="8"/>
            <color indexed="81"/>
            <rFont val="Tahoma"/>
            <family val="2"/>
          </rPr>
          <t>cdorsey:</t>
        </r>
        <r>
          <rPr>
            <sz val="8"/>
            <color indexed="81"/>
            <rFont val="Tahoma"/>
            <family val="2"/>
          </rPr>
          <t xml:space="preserve">
2013 National Non-Metro</t>
        </r>
      </text>
    </comment>
    <comment ref="S178" authorId="2" shapeId="0" xr:uid="{00000000-0006-0000-0000-000003000000}">
      <text>
        <r>
          <rPr>
            <b/>
            <sz val="8"/>
            <color indexed="81"/>
            <rFont val="Tahoma"/>
            <family val="2"/>
          </rPr>
          <t>TDHCA:</t>
        </r>
        <r>
          <rPr>
            <sz val="8"/>
            <color indexed="81"/>
            <rFont val="Tahoma"/>
            <family val="2"/>
          </rPr>
          <t xml:space="preserve">
AMI FY2014</t>
        </r>
      </text>
    </comment>
    <comment ref="AL178" authorId="2" shapeId="0" xr:uid="{00000000-0006-0000-0000-000004000000}">
      <text>
        <r>
          <rPr>
            <b/>
            <sz val="8"/>
            <color indexed="81"/>
            <rFont val="Tahoma"/>
            <family val="2"/>
          </rPr>
          <t>TDHCA:</t>
        </r>
        <r>
          <rPr>
            <sz val="8"/>
            <color indexed="81"/>
            <rFont val="Tahoma"/>
            <family val="2"/>
          </rPr>
          <t xml:space="preserve">
2014 National Non-metro</t>
        </r>
      </text>
    </comment>
    <comment ref="S180" authorId="2" shapeId="0" xr:uid="{00000000-0006-0000-0000-000005000000}">
      <text>
        <r>
          <rPr>
            <b/>
            <sz val="8"/>
            <color indexed="81"/>
            <rFont val="Tahoma"/>
            <family val="2"/>
          </rPr>
          <t>TDHCA:</t>
        </r>
        <r>
          <rPr>
            <sz val="8"/>
            <color indexed="81"/>
            <rFont val="Tahoma"/>
            <family val="2"/>
          </rPr>
          <t xml:space="preserve">
AMI FY2015</t>
        </r>
      </text>
    </comment>
    <comment ref="AL180" authorId="3" shapeId="0" xr:uid="{00000000-0006-0000-0000-000006000000}">
      <text>
        <r>
          <rPr>
            <b/>
            <sz val="9"/>
            <color indexed="81"/>
            <rFont val="Tahoma"/>
            <family val="2"/>
          </rPr>
          <t>snaquin:</t>
        </r>
        <r>
          <rPr>
            <sz val="9"/>
            <color indexed="81"/>
            <rFont val="Tahoma"/>
            <family val="2"/>
          </rPr>
          <t xml:space="preserve">
2015 National Non-metro</t>
        </r>
      </text>
    </comment>
    <comment ref="S182" authorId="2" shapeId="0" xr:uid="{00000000-0006-0000-0000-000007000000}">
      <text>
        <r>
          <rPr>
            <b/>
            <sz val="8"/>
            <color indexed="81"/>
            <rFont val="Tahoma"/>
            <family val="2"/>
          </rPr>
          <t>TDHCA:</t>
        </r>
        <r>
          <rPr>
            <sz val="8"/>
            <color indexed="81"/>
            <rFont val="Tahoma"/>
            <family val="2"/>
          </rPr>
          <t xml:space="preserve">
AMI FY2016</t>
        </r>
      </text>
    </comment>
    <comment ref="AL182" authorId="3" shapeId="0" xr:uid="{00000000-0006-0000-0000-000008000000}">
      <text>
        <r>
          <rPr>
            <b/>
            <sz val="9"/>
            <color indexed="81"/>
            <rFont val="Tahoma"/>
            <family val="2"/>
          </rPr>
          <t>snaquin:</t>
        </r>
        <r>
          <rPr>
            <sz val="9"/>
            <color indexed="81"/>
            <rFont val="Tahoma"/>
            <family val="2"/>
          </rPr>
          <t xml:space="preserve">
2016 National Non-metro</t>
        </r>
      </text>
    </comment>
    <comment ref="S184" authorId="3" shapeId="0" xr:uid="{00000000-0006-0000-0000-000009000000}">
      <text>
        <r>
          <rPr>
            <b/>
            <sz val="9"/>
            <color indexed="81"/>
            <rFont val="Tahoma"/>
            <family val="2"/>
          </rPr>
          <t>snaquin:</t>
        </r>
        <r>
          <rPr>
            <sz val="9"/>
            <color indexed="81"/>
            <rFont val="Tahoma"/>
            <family val="2"/>
          </rPr>
          <t xml:space="preserve">
2017 AMI</t>
        </r>
      </text>
    </comment>
    <comment ref="AL184" authorId="3" shapeId="0" xr:uid="{00000000-0006-0000-0000-00000A000000}">
      <text>
        <r>
          <rPr>
            <b/>
            <sz val="9"/>
            <color indexed="81"/>
            <rFont val="Tahoma"/>
            <family val="2"/>
          </rPr>
          <t>snaquin:</t>
        </r>
        <r>
          <rPr>
            <sz val="9"/>
            <color indexed="81"/>
            <rFont val="Tahoma"/>
            <family val="2"/>
          </rPr>
          <t xml:space="preserve">
2017 national non metro</t>
        </r>
      </text>
    </comment>
    <comment ref="AL186" authorId="4" shapeId="0" xr:uid="{00000000-0006-0000-0000-00000B00000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<sst xmlns="http://schemas.openxmlformats.org/spreadsheetml/2006/main" count="35235" uniqueCount="3008">
  <si>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</si>
  <si>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</si>
  <si>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</si>
  <si>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</si>
  <si>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</si>
  <si>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</si>
  <si>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</si>
  <si>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</si>
  <si>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</si>
  <si>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</si>
  <si>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</si>
  <si>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</si>
  <si>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</si>
  <si>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</si>
  <si>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</si>
  <si>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</si>
  <si>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</si>
  <si>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</si>
  <si>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</si>
  <si>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</si>
  <si>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</si>
  <si>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</si>
  <si>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</si>
  <si>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</si>
  <si>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</si>
  <si>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</si>
  <si>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</si>
  <si>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</si>
  <si>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</si>
  <si>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</si>
  <si>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</si>
  <si>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</si>
  <si>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</si>
  <si>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</si>
  <si>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</si>
  <si>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</si>
  <si>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</si>
  <si>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</si>
  <si>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</si>
  <si>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</si>
  <si>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</si>
  <si>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</si>
  <si>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</si>
  <si>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</si>
  <si>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</si>
  <si>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</si>
  <si>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</si>
  <si>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</si>
  <si>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</si>
  <si>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</si>
  <si>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</si>
  <si>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</si>
  <si>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</si>
  <si>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</si>
  <si>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</si>
  <si>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</si>
  <si>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</si>
  <si>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</si>
  <si>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</si>
  <si>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</si>
  <si>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</si>
  <si>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</si>
  <si>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</si>
  <si>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</si>
  <si>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</si>
  <si>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</si>
  <si>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</si>
  <si>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</si>
  <si>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</si>
  <si>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</si>
  <si>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</si>
  <si>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</si>
  <si>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</si>
  <si>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</si>
  <si>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</si>
  <si>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</si>
  <si>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</si>
  <si>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</si>
  <si>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</si>
  <si>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</si>
  <si>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</si>
  <si>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</si>
  <si>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</si>
  <si>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</si>
  <si>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</si>
  <si>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</si>
  <si>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</si>
  <si>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</si>
  <si>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</si>
  <si>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</si>
  <si>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</si>
  <si>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</si>
  <si>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</si>
  <si>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</si>
  <si>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</si>
  <si>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</si>
  <si>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</si>
  <si>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</si>
  <si>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</si>
  <si>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</si>
  <si>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</si>
  <si>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</si>
  <si>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</si>
  <si>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</si>
  <si>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</si>
  <si>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</si>
  <si>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</si>
  <si>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</si>
  <si>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</si>
  <si>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</si>
  <si>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</si>
  <si>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</si>
  <si>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</si>
  <si>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</si>
  <si>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</si>
  <si>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</si>
  <si>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</si>
  <si>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</si>
  <si>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</si>
  <si>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</si>
  <si>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</si>
  <si>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</si>
  <si>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</si>
  <si>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</si>
  <si>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</si>
  <si>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</si>
  <si>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</si>
  <si>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</si>
  <si>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</si>
  <si>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</si>
  <si>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</si>
  <si>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</si>
  <si>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</si>
  <si>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</si>
  <si>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</si>
  <si>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</si>
  <si>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</si>
  <si>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</si>
  <si>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</si>
  <si>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</si>
  <si>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</si>
  <si>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</si>
  <si>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</si>
  <si>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</si>
  <si>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</si>
  <si>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</si>
  <si>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</si>
  <si>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</si>
  <si>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</si>
  <si>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</si>
  <si>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</si>
  <si>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</si>
  <si>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</si>
  <si>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</si>
  <si>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</si>
  <si>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</si>
  <si>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</si>
  <si>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</si>
  <si>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</si>
  <si>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</si>
  <si>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</si>
  <si>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</si>
  <si>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</si>
  <si>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</si>
  <si>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</si>
  <si>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</si>
  <si>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</si>
  <si>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</si>
  <si>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</si>
  <si>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</si>
  <si>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</si>
  <si>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</si>
  <si>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</si>
  <si>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</si>
  <si>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</si>
  <si>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</si>
  <si>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</si>
  <si>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</si>
  <si>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</si>
  <si>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</si>
  <si>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</si>
  <si>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</si>
  <si>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</si>
  <si>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</si>
  <si>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</si>
  <si>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</si>
  <si>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</si>
  <si>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</si>
  <si>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</si>
  <si>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</si>
  <si>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</si>
  <si>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</si>
  <si>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</si>
  <si>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</si>
  <si>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</si>
  <si>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</si>
  <si>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</si>
  <si>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</si>
  <si>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</si>
  <si>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</si>
  <si>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</si>
  <si>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</si>
  <si>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</si>
  <si>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</si>
  <si>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</si>
  <si>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</si>
  <si>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</si>
  <si>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</si>
  <si>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</si>
  <si>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</si>
  <si>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</si>
  <si>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</si>
  <si>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</si>
  <si>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</si>
  <si>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</si>
  <si>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</si>
  <si>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</si>
  <si>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</si>
  <si>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</si>
  <si>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</si>
  <si>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</si>
  <si>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</si>
  <si>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</si>
  <si>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</si>
  <si>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</si>
  <si>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</si>
  <si>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</si>
  <si>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</si>
  <si>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</si>
  <si>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</si>
  <si>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</si>
  <si>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</si>
  <si>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</si>
  <si>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</si>
  <si>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</si>
  <si>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</si>
  <si>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</si>
  <si>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</si>
  <si>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</si>
  <si>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</si>
  <si>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</si>
  <si>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</si>
  <si>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</si>
  <si>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</si>
  <si>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</si>
  <si>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</si>
  <si>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</si>
  <si>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</si>
  <si>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</si>
  <si>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</si>
  <si>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</si>
  <si>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</si>
  <si>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</si>
  <si>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</si>
  <si>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</si>
  <si>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</si>
  <si>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</si>
  <si>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</si>
  <si>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</si>
  <si>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</si>
  <si>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</si>
  <si>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</si>
  <si>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</si>
  <si>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</si>
  <si>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</si>
  <si>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</si>
  <si>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</si>
  <si>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</si>
  <si>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</si>
  <si>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</si>
  <si>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</si>
  <si>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</si>
  <si>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</si>
  <si>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</si>
  <si>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</si>
  <si>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</si>
  <si>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</si>
  <si>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</si>
  <si>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</si>
  <si>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</si>
  <si>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</si>
  <si>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</si>
  <si>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</si>
  <si>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</si>
  <si>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</si>
  <si>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</si>
  <si>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</si>
  <si>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</si>
  <si>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</si>
  <si>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</si>
  <si>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</si>
  <si>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</si>
  <si>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</si>
  <si>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</si>
  <si>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</si>
  <si>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</si>
  <si>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</si>
  <si>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</si>
  <si>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</si>
  <si>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</si>
  <si>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</si>
  <si>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</si>
  <si>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</si>
  <si>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</si>
  <si>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</si>
  <si>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</si>
  <si>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</si>
  <si>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</si>
  <si>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</si>
  <si>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</si>
  <si>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</si>
  <si>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</si>
  <si>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</si>
  <si>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</si>
  <si>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</si>
  <si>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</si>
  <si>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</si>
  <si>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</si>
  <si>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</si>
  <si>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</si>
  <si>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</si>
  <si>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</si>
  <si>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</si>
  <si>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</si>
  <si>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</si>
  <si>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</si>
  <si>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</si>
  <si>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</si>
  <si>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</si>
  <si>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</si>
  <si>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</si>
  <si>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</si>
  <si>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</si>
  <si>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</si>
  <si>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</si>
  <si>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</si>
  <si>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</si>
  <si>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</si>
  <si>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</si>
  <si>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</si>
  <si>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</si>
  <si>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</si>
  <si>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</si>
  <si>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</si>
  <si>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</si>
  <si>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</si>
  <si>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</si>
  <si>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</si>
  <si>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</si>
  <si>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</si>
  <si>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</si>
  <si>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</si>
  <si>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</si>
  <si>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</si>
  <si>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</si>
  <si>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</si>
  <si>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</si>
  <si>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</si>
  <si>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</si>
  <si>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</si>
  <si>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</si>
  <si>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</si>
  <si>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</si>
  <si>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</si>
  <si>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</si>
  <si>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</si>
  <si>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</si>
  <si>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</si>
  <si>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</si>
  <si>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</si>
  <si>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</si>
  <si>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</si>
  <si>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</si>
  <si>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</si>
  <si>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</si>
  <si>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</si>
  <si>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</si>
  <si>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</si>
  <si>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</si>
  <si>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</si>
  <si>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</si>
  <si>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</si>
  <si>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</si>
  <si>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</si>
  <si>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</si>
  <si>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</si>
  <si>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</si>
  <si>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</si>
  <si>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</si>
  <si>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</si>
  <si>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</si>
  <si>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</si>
  <si>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</si>
  <si>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</si>
  <si>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</si>
  <si>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</si>
  <si>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</si>
  <si>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</si>
  <si>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</si>
  <si>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</si>
  <si>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</si>
  <si>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</si>
  <si>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</si>
  <si>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</si>
  <si>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</si>
  <si>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</si>
  <si>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</si>
  <si>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</si>
  <si>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</si>
  <si>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</si>
  <si>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</si>
  <si>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</si>
  <si>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</si>
  <si>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</si>
  <si>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</si>
  <si>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</si>
  <si>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</si>
  <si>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</si>
  <si>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</si>
  <si>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</si>
  <si>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</si>
  <si>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</si>
  <si>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</si>
  <si>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</si>
  <si>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</si>
  <si>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</si>
  <si>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</si>
  <si>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</si>
  <si>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</si>
  <si>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</si>
  <si>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</si>
  <si>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</si>
  <si>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</si>
  <si>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</si>
  <si>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</si>
  <si>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</si>
  <si>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</si>
  <si>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</si>
  <si>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</si>
  <si>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</si>
  <si>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</si>
  <si>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</si>
  <si>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</si>
  <si>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</si>
  <si>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</si>
  <si>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</si>
  <si>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</si>
  <si>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</si>
  <si>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</si>
  <si>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</si>
  <si>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</si>
  <si>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</si>
  <si>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</si>
  <si>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</si>
  <si>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</si>
  <si>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</si>
  <si>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</si>
  <si>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</si>
  <si>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</si>
  <si>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</si>
  <si>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</si>
  <si>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</si>
  <si>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</si>
  <si>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</si>
  <si>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</si>
  <si>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</si>
  <si>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</si>
  <si>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</si>
  <si>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</si>
  <si>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</si>
  <si>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</si>
  <si>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</si>
  <si>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</si>
  <si>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</si>
  <si>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</si>
  <si>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</si>
  <si>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</si>
  <si>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</si>
  <si>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</si>
  <si>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</si>
  <si>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</si>
  <si>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</si>
  <si>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</si>
  <si>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</si>
  <si>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</si>
  <si>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</si>
  <si>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</si>
  <si>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</si>
  <si>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</si>
  <si>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</si>
  <si>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</si>
  <si>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</si>
  <si>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</si>
  <si>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</si>
  <si>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</si>
  <si>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</si>
  <si>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</si>
  <si>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</si>
  <si>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</si>
  <si>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</si>
  <si>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</si>
  <si>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</si>
  <si>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</si>
  <si>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</si>
  <si>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</si>
  <si>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</si>
  <si>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</si>
  <si>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</si>
  <si>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</si>
  <si>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</si>
  <si>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</si>
  <si>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</si>
  <si>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</si>
  <si>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</si>
  <si>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</si>
  <si>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</si>
  <si>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</si>
  <si>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</si>
  <si>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</si>
  <si>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</si>
  <si>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</si>
  <si>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</si>
  <si>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</si>
  <si>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</si>
  <si>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</si>
  <si>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</si>
  <si>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</si>
  <si>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</si>
  <si>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</si>
  <si>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</si>
  <si>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</si>
  <si>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</si>
  <si>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</si>
  <si>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</si>
  <si>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</si>
  <si>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</si>
  <si>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</si>
  <si>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</si>
  <si>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</si>
  <si>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</si>
  <si>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</si>
  <si>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</si>
  <si>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</si>
  <si>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</si>
  <si>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</si>
  <si>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</si>
  <si>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</si>
  <si>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</si>
  <si>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</si>
  <si>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</si>
  <si>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</si>
  <si>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</si>
  <si>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</si>
  <si>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</si>
  <si>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</si>
  <si>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</si>
  <si>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</si>
  <si>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</si>
  <si>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</si>
  <si>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</si>
  <si>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</si>
  <si>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</si>
  <si>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</si>
  <si>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</si>
  <si>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</si>
  <si>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</si>
  <si>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</si>
  <si>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</si>
  <si>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</si>
  <si>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</si>
  <si>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</si>
  <si>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</si>
  <si>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</si>
  <si>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</si>
  <si>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</si>
  <si>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</si>
  <si>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</si>
  <si>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</si>
  <si>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</si>
  <si>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</si>
  <si>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</si>
  <si>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</si>
  <si>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</si>
  <si>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</si>
  <si>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</si>
  <si>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</si>
  <si>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</si>
  <si>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</si>
  <si>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</si>
  <si>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</si>
  <si>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</si>
  <si>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</si>
  <si>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</si>
  <si>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</si>
  <si>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</si>
  <si>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</si>
  <si>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</si>
  <si>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</si>
  <si>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</si>
  <si>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</si>
  <si>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</si>
  <si>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</si>
  <si>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</si>
  <si>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</si>
  <si>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</si>
  <si>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</si>
  <si>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</si>
  <si>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</si>
  <si>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</si>
  <si>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</si>
  <si>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</si>
  <si>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</si>
  <si>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</si>
  <si>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</si>
  <si>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</si>
  <si>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</si>
  <si>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</si>
  <si>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</si>
  <si>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</si>
  <si>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</si>
  <si>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</si>
  <si>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</si>
  <si>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</si>
  <si>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</si>
  <si>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</si>
  <si>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</si>
  <si>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</si>
  <si>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</si>
  <si>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</si>
  <si>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</si>
  <si>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</si>
  <si>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</si>
  <si>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</si>
  <si>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</si>
  <si>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</si>
  <si>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</si>
  <si>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</si>
  <si>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</si>
  <si>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</si>
  <si>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</si>
  <si>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</si>
  <si>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</si>
  <si>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</si>
  <si>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</si>
  <si>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</si>
  <si>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</si>
  <si>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</si>
  <si>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</si>
  <si>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</si>
  <si>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</si>
  <si>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</si>
  <si>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</si>
  <si>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</si>
  <si>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</si>
  <si>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</si>
  <si>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</si>
  <si>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</si>
  <si>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</si>
  <si>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</si>
  <si>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</si>
  <si>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</si>
  <si>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</si>
  <si>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</si>
  <si>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</si>
  <si>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</si>
  <si>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</si>
  <si>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</si>
  <si>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</si>
  <si>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</si>
  <si>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</si>
  <si>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</si>
  <si>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</si>
  <si>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</si>
  <si>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</si>
  <si>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</si>
  <si>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</si>
  <si>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</si>
  <si>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</si>
  <si>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</si>
  <si>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</si>
  <si>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</si>
  <si>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</si>
  <si>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</si>
  <si>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</si>
  <si>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</si>
  <si>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</si>
  <si>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</si>
  <si>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</si>
  <si>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</si>
  <si>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</si>
  <si>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</si>
  <si>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</si>
  <si>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</si>
  <si>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</si>
  <si>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</si>
  <si>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</si>
  <si>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</si>
  <si>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</si>
  <si>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</si>
  <si>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</si>
  <si>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</si>
  <si>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</si>
  <si>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</si>
  <si>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</si>
  <si>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</si>
  <si>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</si>
  <si>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</si>
  <si>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</si>
  <si>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</si>
  <si>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</si>
  <si>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</si>
  <si>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</si>
  <si>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</si>
  <si>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</si>
  <si>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</si>
  <si>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</si>
  <si>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</si>
  <si>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</si>
  <si>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</si>
  <si>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</si>
  <si>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</si>
  <si>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</si>
  <si>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</si>
  <si>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</si>
  <si>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</si>
  <si>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</si>
  <si>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</si>
  <si>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</si>
  <si>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</si>
  <si>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</si>
  <si>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</si>
  <si>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</si>
  <si>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</si>
  <si>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</si>
  <si>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</si>
  <si>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</si>
  <si>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</si>
  <si>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</si>
  <si>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</si>
  <si>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</si>
  <si>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</si>
  <si>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</si>
  <si>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</si>
  <si>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</si>
  <si>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</si>
  <si>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</si>
  <si>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</si>
  <si>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</si>
  <si>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</si>
  <si>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</si>
  <si>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</si>
  <si>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</si>
  <si>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</si>
  <si>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</si>
  <si>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</si>
  <si>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</si>
  <si>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</si>
  <si>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</si>
  <si>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</si>
  <si>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</si>
  <si>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</si>
  <si>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</si>
  <si>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</si>
  <si>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</si>
  <si>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</si>
  <si>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</si>
  <si>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</si>
  <si>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</si>
  <si>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</si>
  <si>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</si>
  <si>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</si>
  <si>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</si>
  <si>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</si>
  <si>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</si>
  <si>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</si>
  <si>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</si>
  <si>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</si>
  <si>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</si>
  <si>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</si>
  <si>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</si>
  <si>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</si>
  <si>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</si>
  <si>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</si>
  <si>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</si>
  <si>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</si>
  <si>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</si>
  <si>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</si>
  <si>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</si>
  <si>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</si>
  <si>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</si>
  <si>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</si>
  <si>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</si>
  <si>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</si>
  <si>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</si>
  <si>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</si>
  <si>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</si>
  <si>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</si>
  <si>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</si>
  <si>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</si>
  <si>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</si>
  <si>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</si>
  <si>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</si>
  <si>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</si>
  <si>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</si>
  <si>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</si>
  <si>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</si>
  <si>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</si>
  <si>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</si>
  <si>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</si>
  <si>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</si>
  <si>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</si>
  <si>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</si>
  <si>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</si>
  <si>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</si>
  <si>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</si>
  <si>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</si>
  <si>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</si>
  <si>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</si>
  <si>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</si>
  <si>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</si>
  <si>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</si>
  <si>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</si>
  <si>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</si>
  <si>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</si>
  <si>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</si>
  <si>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</si>
  <si>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</si>
  <si>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</si>
  <si>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</si>
  <si>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</si>
  <si>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</si>
  <si>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</si>
  <si>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</si>
  <si>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</si>
  <si>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</si>
  <si>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</si>
  <si>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</si>
  <si>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</si>
  <si>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</si>
  <si>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</si>
  <si>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</si>
  <si>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</si>
  <si>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</si>
  <si>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</si>
  <si>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</si>
  <si>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</si>
  <si>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</si>
  <si>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</si>
  <si>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</si>
  <si>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</si>
  <si>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</si>
  <si>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</si>
  <si>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</si>
  <si>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</si>
  <si>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</si>
  <si>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</si>
  <si>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</si>
  <si>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</si>
  <si>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</si>
  <si>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</si>
  <si>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</si>
  <si>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</si>
  <si>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</si>
  <si>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</si>
  <si>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</si>
  <si>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</si>
  <si>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</si>
  <si>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</si>
  <si>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</si>
  <si>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</si>
  <si>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</si>
  <si>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</si>
  <si>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</si>
  <si>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</si>
  <si>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</si>
  <si>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</si>
  <si>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</si>
  <si>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</si>
  <si>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</si>
  <si>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</si>
  <si>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</si>
  <si>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</si>
  <si>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</si>
  <si>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</si>
  <si>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</si>
  <si>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</si>
  <si>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</si>
  <si>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</si>
  <si>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</si>
  <si>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</si>
  <si>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</si>
  <si>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</si>
  <si>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</si>
  <si>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</si>
  <si>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</si>
  <si>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</si>
  <si>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</si>
  <si>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</si>
  <si>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</si>
  <si>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</si>
  <si>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</si>
  <si>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</si>
  <si>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</si>
  <si>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</si>
  <si>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</si>
  <si>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</si>
  <si>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</si>
  <si>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</si>
  <si>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</si>
  <si>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</si>
  <si>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</si>
  <si>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</si>
  <si>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</si>
  <si>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</si>
  <si>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</si>
  <si>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</si>
  <si>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</si>
  <si>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</si>
  <si>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</si>
  <si>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</si>
  <si>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</si>
  <si>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</si>
  <si>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</si>
  <si>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</si>
  <si>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</si>
  <si>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</si>
  <si>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</si>
  <si>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</si>
  <si>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</si>
  <si>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</si>
  <si>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</si>
  <si>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</si>
  <si>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</si>
  <si>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</si>
  <si>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</si>
  <si>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</si>
  <si>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</si>
  <si>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</si>
  <si>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</si>
  <si>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</si>
  <si>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</si>
  <si>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</si>
  <si>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</si>
  <si>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</si>
  <si>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</si>
  <si>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</si>
  <si>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</si>
  <si>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</si>
  <si>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</si>
  <si>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</si>
  <si>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</si>
  <si>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</si>
  <si>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</si>
  <si>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</si>
  <si>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</si>
  <si>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</si>
  <si>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</si>
  <si>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</si>
  <si>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</si>
  <si>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</si>
  <si>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</si>
  <si>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</si>
  <si>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</si>
  <si>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</si>
  <si>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</si>
  <si>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</si>
  <si>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</si>
  <si>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</si>
  <si>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</si>
  <si>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</si>
  <si>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</si>
  <si>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</si>
  <si>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</si>
  <si>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</si>
  <si>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</si>
  <si>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</si>
  <si>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</si>
  <si>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</si>
  <si>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</si>
  <si>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</si>
  <si>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</si>
  <si>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</si>
  <si>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</si>
  <si>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</si>
  <si>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</si>
  <si>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</si>
  <si>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</si>
  <si>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</si>
  <si>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</si>
  <si>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</si>
  <si>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</si>
  <si>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</si>
  <si>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</si>
  <si>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</si>
  <si>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</si>
  <si>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</si>
  <si>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</si>
  <si>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</si>
  <si>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</si>
  <si>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</si>
  <si>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</si>
  <si>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</si>
  <si>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</si>
  <si>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</si>
  <si>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</si>
  <si>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</si>
  <si>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</si>
  <si>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</si>
  <si>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</si>
  <si>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</si>
  <si>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</si>
  <si>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</si>
  <si>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</si>
  <si>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</si>
  <si>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</si>
  <si>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</si>
  <si>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</si>
  <si>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</si>
  <si>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</si>
  <si>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</si>
  <si>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</si>
  <si>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</si>
  <si>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</si>
  <si>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</si>
  <si>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</si>
  <si>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</si>
  <si>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</si>
  <si>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</si>
  <si>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</si>
  <si>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</si>
  <si>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</si>
  <si>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</si>
  <si>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</si>
  <si>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</si>
  <si>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</si>
  <si>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</si>
  <si>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</si>
  <si>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</si>
  <si>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</si>
  <si>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</si>
  <si>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</si>
  <si>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</si>
  <si>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</si>
  <si>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</si>
  <si>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</si>
  <si>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</si>
  <si>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</si>
  <si>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</si>
  <si>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</si>
  <si>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</si>
  <si>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</si>
  <si>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</si>
  <si>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</si>
  <si>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</si>
  <si>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</si>
  <si>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</si>
  <si>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</si>
  <si>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</si>
  <si>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</si>
  <si>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</si>
  <si>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</si>
  <si>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</si>
  <si>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</si>
  <si>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</si>
  <si>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</si>
  <si>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</si>
  <si>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</si>
  <si>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</si>
  <si>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</si>
  <si>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</si>
  <si>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</si>
  <si>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</si>
  <si>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</si>
  <si>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</si>
  <si>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</si>
  <si>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</si>
  <si>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</si>
  <si>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</si>
  <si>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</si>
  <si>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</si>
  <si>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</si>
  <si>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</si>
  <si>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</si>
  <si>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</si>
  <si>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</si>
  <si>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</si>
  <si>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</si>
  <si>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</si>
  <si>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</si>
  <si>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</si>
  <si>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</si>
  <si>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</si>
  <si>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</si>
  <si>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</si>
  <si>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</si>
  <si>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</si>
  <si>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</si>
  <si>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</si>
  <si>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</si>
  <si>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</si>
  <si>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</si>
  <si>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</si>
  <si>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</si>
  <si>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</si>
  <si>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</si>
  <si>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</si>
  <si>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</si>
  <si>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</si>
  <si>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</si>
  <si>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</si>
  <si>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</si>
  <si>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</si>
  <si>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</si>
  <si>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</si>
  <si>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</si>
  <si>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</si>
  <si>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</si>
  <si>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</si>
  <si>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</si>
  <si>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</si>
  <si>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</si>
  <si>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</si>
  <si>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</si>
  <si>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</si>
  <si>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</si>
  <si>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</si>
  <si>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</si>
  <si>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</si>
  <si>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</si>
  <si>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</si>
  <si>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</si>
  <si>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</si>
  <si>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</si>
  <si>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</si>
  <si>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</si>
  <si>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</si>
  <si>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</si>
  <si>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</si>
  <si>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</si>
  <si>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</si>
  <si>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</si>
  <si>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</si>
  <si>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</si>
  <si>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</si>
  <si>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</si>
  <si>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</si>
  <si>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</si>
  <si>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</si>
  <si>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</si>
  <si>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</si>
  <si>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</si>
  <si>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</si>
  <si>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</si>
  <si>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</si>
  <si>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</si>
  <si>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</si>
  <si>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</si>
  <si>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</si>
  <si>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</si>
  <si>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</si>
  <si>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</si>
  <si>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</si>
  <si>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</si>
  <si>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</si>
  <si>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</si>
  <si>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</si>
  <si>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</si>
  <si>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</si>
  <si>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</si>
  <si>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</si>
  <si>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</si>
  <si>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</si>
  <si>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</si>
  <si>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</si>
  <si>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</si>
  <si>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</si>
  <si>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</si>
  <si>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</si>
  <si>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</si>
  <si>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</si>
  <si>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</si>
  <si>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</si>
  <si>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</si>
  <si>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</si>
  <si>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</si>
  <si>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</si>
  <si>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</si>
  <si>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</si>
  <si>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</si>
  <si>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</si>
  <si>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</si>
  <si>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</si>
  <si>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</si>
  <si>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</si>
  <si>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</si>
  <si>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</si>
  <si>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</si>
  <si>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</si>
  <si>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</si>
  <si>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</si>
  <si>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</si>
  <si>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</si>
  <si>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</si>
  <si>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</si>
  <si>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</si>
  <si>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</si>
  <si>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</si>
  <si>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</si>
  <si>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</si>
  <si>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</si>
  <si>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</si>
  <si>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</si>
  <si>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</si>
  <si>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</si>
  <si>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</si>
  <si>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</si>
  <si>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</si>
  <si>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</si>
  <si>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</si>
  <si>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</si>
  <si>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</si>
  <si>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</si>
  <si>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</si>
  <si>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</si>
  <si>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</si>
  <si>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</si>
  <si>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</si>
  <si>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</si>
  <si>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</si>
  <si>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</si>
  <si>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</si>
  <si>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</si>
  <si>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</si>
  <si>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</si>
  <si>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</si>
  <si>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</si>
  <si>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</si>
  <si>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</si>
  <si>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</si>
  <si>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</si>
  <si>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</si>
  <si>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</si>
  <si>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</si>
  <si>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</si>
  <si>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</si>
  <si>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</si>
  <si>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</si>
  <si>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</si>
  <si>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</si>
  <si>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</si>
  <si>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</si>
  <si>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</si>
  <si>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</si>
  <si>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</si>
  <si>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</si>
  <si>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</si>
  <si>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</si>
  <si>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</si>
  <si>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</si>
  <si>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</si>
  <si>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</si>
  <si>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</si>
  <si>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</si>
  <si>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</si>
  <si>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</si>
  <si>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</si>
  <si>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</si>
  <si>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</si>
  <si>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</si>
  <si>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</si>
  <si>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</si>
  <si>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</si>
  <si>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</si>
  <si>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</si>
  <si>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</si>
  <si>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</si>
  <si>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</si>
  <si>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</si>
  <si>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</si>
  <si>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</si>
  <si>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</si>
  <si>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</si>
  <si>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</si>
  <si>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</si>
  <si>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</si>
  <si>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</si>
  <si>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</si>
  <si>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</si>
  <si>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</si>
  <si>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</si>
  <si>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</si>
  <si>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</si>
  <si>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</si>
  <si>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</si>
  <si>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</si>
  <si>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</si>
  <si>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</si>
  <si>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</si>
  <si>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</si>
  <si>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</si>
  <si>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</si>
  <si>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</si>
  <si>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</si>
  <si>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</si>
  <si>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</si>
  <si>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</si>
  <si>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</si>
  <si>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</si>
  <si>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</si>
  <si>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</si>
  <si>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</si>
  <si>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</si>
  <si>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</si>
  <si>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</si>
  <si>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</si>
  <si>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</si>
  <si>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</si>
  <si>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</si>
  <si>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</si>
  <si>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</si>
  <si>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</si>
  <si>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</si>
  <si>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</si>
  <si>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</si>
  <si>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</si>
  <si>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</si>
  <si>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</si>
  <si>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</si>
  <si>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</si>
  <si>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</si>
  <si>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</si>
  <si>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</si>
  <si>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</si>
  <si>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</si>
  <si>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</si>
  <si>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</si>
  <si>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</si>
  <si>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</si>
  <si>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</si>
  <si>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</si>
  <si>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</si>
  <si>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</si>
  <si>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</si>
  <si>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</si>
  <si>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</si>
  <si>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</si>
  <si>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</si>
  <si>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</si>
  <si>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</si>
  <si>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</si>
  <si>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</si>
  <si>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</si>
  <si>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</si>
  <si>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</si>
  <si>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</si>
  <si>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</si>
  <si>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</si>
  <si>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</si>
  <si>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</si>
  <si>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</si>
  <si>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</si>
  <si>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</si>
  <si>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</si>
  <si>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</si>
  <si>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</si>
  <si>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</si>
  <si>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</si>
  <si>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</si>
  <si>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</si>
  <si>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</si>
  <si>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</si>
  <si>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</si>
  <si>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</si>
  <si>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</si>
  <si>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</si>
  <si>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</si>
  <si>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</si>
  <si>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</si>
  <si>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</si>
  <si>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</si>
  <si>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</si>
  <si>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</si>
  <si>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</si>
  <si>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</si>
  <si>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</si>
  <si>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</si>
  <si>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</si>
  <si>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</si>
  <si>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</si>
  <si>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</si>
  <si>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</si>
  <si>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</si>
  <si>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</si>
  <si>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</si>
  <si>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</si>
  <si>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</si>
  <si>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</si>
  <si>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</si>
  <si>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</si>
  <si>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</si>
  <si>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</si>
  <si>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</si>
  <si>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</si>
  <si>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</si>
  <si>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</si>
  <si>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</si>
  <si>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</si>
  <si>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</si>
  <si>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</si>
  <si>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</si>
  <si>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</si>
  <si>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</si>
  <si>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</si>
  <si>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</si>
  <si>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</si>
  <si>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</si>
  <si>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</si>
  <si>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</si>
  <si>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</si>
  <si>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</si>
  <si>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</si>
  <si>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</si>
  <si>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</si>
  <si>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</si>
  <si>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</si>
  <si>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</si>
  <si>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</si>
  <si>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</si>
  <si>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</si>
  <si>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</si>
  <si>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</si>
  <si>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</si>
  <si>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</si>
  <si>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</si>
  <si>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</si>
  <si>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</si>
  <si>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</si>
  <si>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</si>
  <si>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</si>
  <si>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</si>
  <si>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</si>
  <si>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</si>
  <si>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</si>
  <si>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</si>
  <si>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</si>
  <si>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</si>
  <si>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</si>
  <si>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</si>
  <si>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</si>
  <si>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</si>
  <si>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</si>
  <si>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</si>
  <si>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</si>
  <si>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</si>
  <si>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</si>
  <si>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</si>
  <si>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</si>
  <si>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</si>
  <si>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</si>
  <si>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</si>
  <si>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</si>
  <si>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</si>
  <si>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</si>
  <si>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</si>
  <si>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</si>
  <si>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</si>
  <si>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</si>
  <si>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</si>
  <si>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</si>
  <si>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</si>
  <si>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</si>
  <si>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</si>
  <si>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</si>
  <si>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</si>
  <si>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</si>
  <si>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</si>
  <si>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</si>
  <si>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</si>
  <si>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</si>
  <si>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</si>
  <si>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</si>
  <si>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</si>
  <si>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</si>
  <si>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</si>
  <si>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</si>
  <si>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</si>
  <si>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</si>
  <si>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</si>
  <si>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</si>
  <si>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</si>
  <si>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</si>
  <si>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</si>
  <si>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</si>
  <si>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</si>
  <si>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</si>
  <si>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</si>
  <si>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</si>
  <si>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</si>
  <si>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</si>
  <si>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</si>
  <si>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</si>
  <si>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</si>
  <si>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</si>
  <si>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</si>
  <si>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</si>
  <si>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</si>
  <si>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</si>
  <si>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</si>
  <si>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</si>
  <si>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</si>
  <si>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</si>
  <si>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</si>
  <si>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</si>
  <si>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</si>
  <si>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</si>
  <si>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</si>
  <si>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</si>
  <si>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</si>
  <si>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</si>
  <si>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</si>
  <si>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</si>
  <si>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</si>
  <si>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</si>
  <si>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</si>
  <si>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</si>
  <si>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</si>
  <si>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</si>
  <si>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</si>
  <si>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</si>
  <si>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</si>
  <si>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</si>
  <si>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</si>
  <si>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</si>
  <si>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</si>
  <si>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</si>
  <si>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</si>
  <si>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</si>
  <si>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</si>
  <si>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</si>
  <si>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</si>
  <si>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</si>
  <si>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</si>
  <si>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</si>
  <si>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</si>
  <si>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</si>
  <si>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</si>
  <si>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</si>
  <si>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</si>
  <si>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</si>
  <si>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</si>
  <si>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</si>
  <si>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</si>
  <si>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</si>
  <si>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</si>
  <si>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</si>
  <si>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</si>
  <si>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</si>
  <si>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</si>
  <si>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</si>
  <si>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</si>
  <si>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</si>
  <si>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</si>
  <si>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</si>
  <si>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</si>
  <si>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</si>
  <si>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</si>
  <si>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</si>
  <si>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</si>
  <si>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</si>
  <si>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</si>
  <si>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</si>
  <si>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</si>
  <si>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</si>
  <si>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</si>
  <si>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</si>
  <si>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</si>
  <si>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</si>
  <si>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</si>
  <si>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</si>
  <si>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</si>
  <si>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</si>
  <si>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</si>
  <si>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</si>
  <si>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</si>
  <si>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</si>
  <si>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</si>
  <si>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</si>
  <si>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</si>
  <si>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</si>
  <si>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</si>
  <si>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</si>
  <si>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</si>
  <si>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</si>
  <si>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</si>
  <si>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</si>
  <si>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</si>
  <si>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</si>
  <si>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</si>
  <si>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</si>
  <si>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</si>
  <si>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</si>
  <si>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</si>
  <si>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</si>
  <si>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</si>
  <si>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</si>
  <si>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</si>
  <si>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</si>
  <si>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</si>
  <si>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</si>
  <si>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</si>
  <si>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</si>
  <si>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</si>
  <si>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</si>
  <si>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</si>
  <si>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</si>
  <si>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</si>
  <si>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</si>
  <si>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</si>
  <si>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</si>
  <si>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</si>
  <si>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</si>
  <si>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</si>
  <si>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</si>
  <si>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</si>
  <si>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</si>
  <si>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</si>
  <si>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</si>
  <si>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</si>
  <si>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</si>
  <si>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</si>
  <si>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</si>
  <si>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</si>
  <si>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</si>
  <si>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</si>
  <si>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</si>
  <si>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</si>
  <si>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</si>
  <si>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</si>
  <si>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</si>
  <si>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</si>
  <si>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</si>
  <si>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</si>
  <si>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</si>
  <si>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</si>
  <si>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</si>
  <si>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</si>
  <si>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</si>
  <si>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</si>
  <si>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</si>
  <si>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</si>
  <si>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</si>
  <si>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</si>
  <si>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</si>
  <si>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</si>
  <si>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</si>
  <si>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</si>
  <si>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</si>
  <si>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</si>
  <si>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</si>
  <si>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</si>
  <si>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</si>
  <si>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</si>
  <si>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</si>
  <si>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</si>
  <si>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</si>
  <si>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</si>
  <si>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</si>
  <si>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</si>
  <si>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</si>
  <si>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</si>
  <si>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</si>
  <si>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</si>
  <si>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</si>
  <si>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</si>
  <si>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</si>
  <si>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</si>
  <si>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</si>
  <si>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</si>
  <si>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</si>
  <si>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</si>
  <si>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</si>
  <si>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</si>
  <si>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</si>
  <si>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</si>
  <si>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</si>
  <si>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</si>
  <si>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</si>
  <si>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</si>
  <si>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</si>
  <si>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</si>
  <si>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</si>
  <si>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</si>
  <si>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</si>
  <si>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</si>
  <si>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</si>
  <si>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</si>
  <si>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</si>
  <si>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</si>
  <si>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</si>
  <si>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</si>
  <si>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</si>
  <si>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</si>
  <si>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</si>
  <si>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</si>
  <si>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</si>
  <si>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</si>
  <si>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</si>
  <si>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</si>
  <si>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</si>
  <si>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</si>
  <si>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</si>
  <si>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</si>
  <si>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</si>
  <si>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</si>
  <si>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</si>
  <si>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</si>
  <si>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</si>
  <si>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</si>
  <si>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</si>
  <si>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</si>
  <si>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</si>
  <si>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</si>
  <si>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</si>
  <si>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</si>
  <si>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</si>
  <si>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</si>
  <si>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</si>
  <si>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</si>
  <si>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</si>
  <si>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</si>
  <si>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</si>
  <si>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</si>
  <si>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</si>
  <si>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</si>
  <si>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</si>
  <si>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</si>
  <si>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</si>
  <si>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</si>
  <si>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</si>
  <si>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</si>
  <si>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</si>
  <si>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</si>
  <si>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</si>
  <si>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</si>
  <si>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</si>
  <si>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</si>
  <si>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</si>
  <si>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</si>
  <si>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</si>
  <si>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</si>
  <si>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</si>
  <si>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</si>
  <si>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</si>
  <si>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</si>
  <si>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</si>
  <si>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</si>
  <si>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</si>
  <si>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</si>
  <si>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</si>
  <si>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</si>
  <si>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</si>
  <si>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</si>
  <si>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</si>
  <si>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</si>
  <si>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</si>
  <si>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</si>
  <si>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</si>
  <si>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</si>
  <si>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</si>
  <si>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</si>
  <si>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</si>
  <si>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</si>
  <si>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</si>
  <si>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</si>
  <si>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</si>
  <si>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</si>
  <si>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</si>
  <si>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</si>
  <si>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</si>
  <si>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</si>
  <si>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</si>
  <si>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</si>
  <si>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</si>
  <si>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</si>
  <si>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</si>
  <si>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</si>
  <si>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</si>
  <si>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</si>
  <si>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</si>
  <si>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</si>
  <si>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</si>
  <si>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</si>
  <si>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</si>
  <si>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</si>
  <si>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</si>
  <si>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</si>
  <si>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</si>
  <si>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</si>
  <si>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</si>
  <si>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</si>
  <si>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</si>
  <si>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</si>
  <si>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</si>
  <si>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</si>
  <si>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</si>
  <si>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</si>
  <si>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</si>
  <si>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</si>
  <si>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</si>
  <si>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</si>
  <si>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</si>
  <si>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</si>
  <si>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</si>
  <si>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</si>
  <si>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</si>
  <si>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</si>
  <si>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</si>
  <si>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</si>
  <si>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</si>
  <si>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</si>
  <si>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</si>
  <si>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</si>
  <si>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</si>
  <si>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</si>
  <si>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</si>
  <si>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</si>
  <si>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</si>
  <si>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</si>
  <si>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</si>
  <si>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</si>
  <si>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</si>
  <si>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</si>
  <si>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</si>
  <si>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</si>
  <si>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</si>
  <si>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</si>
  <si>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</si>
  <si>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</si>
  <si>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</si>
  <si>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</si>
  <si>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</si>
  <si>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</si>
  <si>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</si>
  <si>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</si>
  <si>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</si>
  <si>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</si>
  <si>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</si>
  <si>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</si>
  <si>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</si>
  <si>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</si>
  <si>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</si>
  <si>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</si>
  <si>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</si>
  <si>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</si>
  <si>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</si>
  <si>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</si>
  <si>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</si>
  <si>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</si>
  <si>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</si>
  <si>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</si>
  <si>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</si>
  <si>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</si>
  <si>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</si>
  <si>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</si>
  <si>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</si>
  <si>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</si>
  <si>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</si>
  <si>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</si>
  <si>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</si>
  <si>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</si>
  <si>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</si>
  <si>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</si>
  <si>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</si>
  <si>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</si>
  <si>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</si>
  <si>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</si>
  <si>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</si>
  <si>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</si>
  <si>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</si>
  <si>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</si>
  <si>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</si>
  <si>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</si>
  <si>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</si>
  <si>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</si>
  <si>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</si>
  <si>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</si>
  <si>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</si>
  <si>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</si>
  <si>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</si>
  <si>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</si>
  <si>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</si>
  <si>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</si>
  <si>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</si>
  <si>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</si>
  <si>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</si>
  <si>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</si>
  <si>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</si>
  <si>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</si>
  <si>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</si>
  <si>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</si>
  <si>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</si>
  <si>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</si>
  <si>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</si>
  <si>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</si>
  <si>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</si>
  <si>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</si>
  <si>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</si>
  <si>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</si>
  <si>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</si>
  <si>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</si>
  <si>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</si>
  <si>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</si>
  <si>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</si>
  <si>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</si>
  <si>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</si>
  <si>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</si>
  <si>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</si>
  <si>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</si>
  <si>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</si>
  <si>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</si>
  <si>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</si>
  <si>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</si>
  <si>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</si>
  <si>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</si>
  <si>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</si>
  <si>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</si>
  <si>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</si>
  <si>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</si>
  <si>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</si>
  <si>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</si>
  <si>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</si>
  <si>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</si>
  <si>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</si>
  <si>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</si>
  <si>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</si>
  <si>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</si>
  <si>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</si>
  <si>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</si>
  <si>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</si>
  <si>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</si>
  <si>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</si>
  <si>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</si>
  <si>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</si>
  <si>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</si>
  <si>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</si>
  <si>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</si>
  <si>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</si>
  <si>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</si>
  <si>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</si>
  <si>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</si>
  <si>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</si>
  <si>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</si>
  <si>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</si>
  <si>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</si>
  <si>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</si>
  <si>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</si>
  <si>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</si>
  <si>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</si>
  <si>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</si>
  <si>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</si>
  <si>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</si>
  <si>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</si>
  <si>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</si>
  <si>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</si>
  <si>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</si>
  <si>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</si>
  <si>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</si>
  <si>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</si>
  <si>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</si>
  <si>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</si>
  <si>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</si>
  <si>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</si>
  <si>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</si>
  <si>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</si>
  <si>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</si>
  <si>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</si>
  <si>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</si>
  <si>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</si>
  <si>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</si>
  <si>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</si>
  <si>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</si>
  <si>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</si>
  <si>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</si>
  <si>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</si>
  <si>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</si>
  <si>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</si>
  <si>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</si>
  <si>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</si>
  <si>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</si>
  <si>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</si>
  <si>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</si>
  <si>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</si>
  <si>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</si>
  <si>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</si>
  <si>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</si>
  <si>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</si>
  <si>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</si>
  <si>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</si>
  <si>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</si>
  <si>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</si>
  <si>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</si>
  <si>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</si>
  <si>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</si>
  <si>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</si>
  <si>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</si>
  <si>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</si>
  <si>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</si>
  <si>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</si>
  <si>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</si>
  <si>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</si>
  <si>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</si>
  <si>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</si>
  <si>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</si>
  <si>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</si>
  <si>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</si>
  <si>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</si>
  <si>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</si>
  <si>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</si>
  <si>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</si>
  <si>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</si>
  <si>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</si>
  <si>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</si>
  <si>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</si>
  <si>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</si>
  <si>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</si>
  <si>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</si>
  <si>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</si>
  <si>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</si>
  <si>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</si>
  <si>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</si>
  <si>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</si>
  <si>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</si>
  <si>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</si>
  <si>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</si>
  <si>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</si>
  <si>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</si>
  <si>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</si>
  <si>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</si>
  <si>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</si>
  <si>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</si>
  <si>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</si>
  <si>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</si>
  <si>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</si>
  <si>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</si>
  <si>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</si>
  <si>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</si>
  <si>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</si>
  <si>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</si>
  <si>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</si>
  <si>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</si>
  <si>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</si>
  <si>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</si>
  <si>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</si>
  <si>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</si>
  <si>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</si>
  <si>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</si>
  <si>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</si>
  <si>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</si>
  <si>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</si>
  <si>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</si>
  <si>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</si>
  <si>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</si>
  <si>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</si>
  <si>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</si>
  <si>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</si>
  <si>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</si>
  <si>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</si>
  <si>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</si>
  <si>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</si>
  <si>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</si>
  <si>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</si>
  <si>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</si>
  <si>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</si>
  <si>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</si>
  <si>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</si>
  <si>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</si>
  <si>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</si>
  <si>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</si>
  <si>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</si>
  <si>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</si>
  <si>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</si>
  <si>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</si>
  <si>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</si>
  <si>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</si>
  <si>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</si>
  <si>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</si>
  <si>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</si>
  <si>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</si>
  <si>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</si>
  <si>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</si>
  <si>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</si>
  <si>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</si>
  <si>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</si>
  <si>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</si>
  <si>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</si>
  <si>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</si>
  <si>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</si>
  <si>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</si>
  <si>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</si>
  <si>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</si>
  <si>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</si>
  <si>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</si>
  <si>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</si>
  <si>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</si>
  <si>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</si>
  <si>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</si>
  <si>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</si>
  <si>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</si>
  <si>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</si>
  <si>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</si>
  <si>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</si>
  <si>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</si>
  <si>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</si>
  <si>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</si>
  <si>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</si>
  <si>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</si>
  <si>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</si>
  <si>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</si>
  <si>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</si>
  <si>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</si>
  <si>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</si>
  <si>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</si>
  <si>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</si>
  <si>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</si>
  <si>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</si>
  <si>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</si>
  <si>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</si>
  <si>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</si>
  <si>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</si>
  <si>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</si>
  <si>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</si>
  <si>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</si>
  <si>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</si>
  <si>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</si>
  <si>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</si>
  <si>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</si>
  <si>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</si>
  <si>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</si>
  <si>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</si>
  <si>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</si>
  <si>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</si>
  <si>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</si>
  <si>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</si>
  <si>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</si>
  <si>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</si>
  <si>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</si>
  <si>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</si>
  <si>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</si>
  <si>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</si>
  <si>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</si>
  <si>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</si>
  <si>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</si>
  <si>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</si>
  <si>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</si>
  <si>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</si>
  <si>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</si>
  <si>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</si>
  <si>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</si>
  <si>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</si>
  <si>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</si>
  <si>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</si>
  <si>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</si>
  <si>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</si>
  <si>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</si>
  <si>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</si>
  <si>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</si>
  <si>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</si>
  <si>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</si>
  <si>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</si>
  <si>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</si>
  <si>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</si>
  <si>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</si>
  <si>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</si>
  <si>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</si>
  <si>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</si>
  <si>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</si>
  <si>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</si>
  <si>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</si>
  <si>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</si>
  <si>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</si>
  <si>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</si>
  <si>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</si>
  <si>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</si>
  <si>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</si>
  <si>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</si>
  <si>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</si>
  <si>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</si>
  <si>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</si>
  <si>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</si>
  <si>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</si>
  <si>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</si>
  <si>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</si>
  <si>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</si>
  <si>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</si>
  <si>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</si>
  <si>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</si>
  <si>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</si>
  <si>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</si>
  <si>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</si>
  <si>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</si>
  <si>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</si>
  <si>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</si>
  <si>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</si>
  <si>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</si>
  <si>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</si>
  <si>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</si>
  <si>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</si>
  <si>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</si>
  <si>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</si>
  <si>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</si>
  <si>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</si>
  <si>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</si>
  <si>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</si>
  <si>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</si>
  <si>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</si>
  <si>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</si>
  <si>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</si>
  <si>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</si>
  <si>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</si>
  <si>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</si>
  <si>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</si>
  <si>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</si>
  <si>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</si>
  <si>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</si>
  <si>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</si>
  <si>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</si>
  <si>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</si>
  <si>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</si>
  <si>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</si>
  <si>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</si>
  <si>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</si>
  <si>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</si>
  <si>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</si>
  <si>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</si>
  <si>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</si>
  <si>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</si>
  <si>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</si>
  <si>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</si>
  <si>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</si>
  <si>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</si>
  <si>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</si>
  <si>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</si>
  <si>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</si>
  <si>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</si>
  <si>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</si>
  <si>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</si>
  <si>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</si>
  <si>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</si>
  <si>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</si>
  <si>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</si>
  <si>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</si>
  <si>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</si>
  <si>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</si>
  <si>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</si>
  <si>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</si>
  <si>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</si>
  <si>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</si>
  <si>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</si>
  <si>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</si>
  <si>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</si>
  <si>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</si>
  <si>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</si>
  <si>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</si>
  <si>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</si>
  <si>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</si>
  <si>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</si>
  <si>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</si>
  <si>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</si>
  <si>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</si>
  <si>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</si>
  <si>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</si>
  <si>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</si>
  <si>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</si>
  <si>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</si>
  <si>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</si>
  <si>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</si>
  <si>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</si>
  <si>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</si>
  <si>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</si>
  <si>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</si>
  <si>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</si>
  <si>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</si>
  <si>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</si>
  <si>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</si>
  <si>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</si>
  <si>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</si>
  <si>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</si>
  <si>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</si>
  <si>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</si>
  <si>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</si>
  <si>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</si>
  <si>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</si>
  <si>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</si>
  <si>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</si>
  <si>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</si>
  <si>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</si>
  <si>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</si>
  <si>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</si>
  <si>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</si>
  <si>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</si>
  <si>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</si>
  <si>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</si>
  <si>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</si>
  <si>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</si>
  <si>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</si>
  <si>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</si>
  <si>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</si>
  <si>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</si>
  <si>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</si>
  <si>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</si>
  <si>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</si>
  <si>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</si>
  <si>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</si>
  <si>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</si>
  <si>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</si>
  <si>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</si>
  <si>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</si>
  <si>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</si>
  <si>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</si>
  <si>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</si>
  <si>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</si>
  <si>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</si>
  <si>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</si>
  <si>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</si>
  <si>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</si>
  <si>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</si>
  <si>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</si>
  <si>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</si>
  <si>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</si>
  <si>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</si>
  <si>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</si>
  <si>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</si>
  <si>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</si>
  <si>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</si>
  <si>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</si>
  <si>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</si>
  <si>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</si>
  <si>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</si>
  <si>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</si>
  <si>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</si>
  <si>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</si>
  <si>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</si>
  <si>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</si>
  <si>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</si>
  <si>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</si>
  <si>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</si>
  <si>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</si>
  <si>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</si>
  <si>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</si>
  <si>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</si>
  <si>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</si>
  <si>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</si>
  <si>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</si>
  <si>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</si>
  <si>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</si>
  <si>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</si>
  <si>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</si>
  <si>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</si>
  <si>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</si>
  <si>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</si>
  <si>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</si>
  <si>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</si>
  <si>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</si>
  <si>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</si>
  <si>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</si>
  <si>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</si>
  <si>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</si>
  <si>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</si>
  <si>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</si>
  <si>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</si>
  <si>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</si>
  <si>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</si>
  <si>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</si>
  <si>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</si>
  <si>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</si>
  <si>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</si>
  <si>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</si>
  <si>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</si>
  <si>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</si>
  <si>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</si>
  <si>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</si>
  <si>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</si>
  <si>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</si>
  <si>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</si>
  <si>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</si>
  <si>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</si>
  <si>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</si>
  <si>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</si>
  <si>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</si>
  <si>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</si>
  <si>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</si>
  <si>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</si>
  <si>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</si>
  <si>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</si>
  <si>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</si>
  <si>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</si>
  <si>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</si>
  <si>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</si>
  <si>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</si>
  <si>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</si>
  <si>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</si>
  <si>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</si>
  <si>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</si>
  <si>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</si>
  <si>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</si>
  <si>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</si>
  <si>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</si>
  <si>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</si>
  <si>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</si>
  <si>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</si>
  <si>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</si>
  <si>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</si>
  <si>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</si>
  <si>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</si>
  <si>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</si>
  <si>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</si>
  <si>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</si>
  <si>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</si>
  <si>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</si>
  <si>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</si>
  <si>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</si>
  <si>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</si>
  <si>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</si>
  <si>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</si>
  <si>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</si>
  <si>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</si>
  <si>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</si>
  <si>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</si>
  <si>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</si>
  <si>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</si>
  <si>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</si>
  <si>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</si>
  <si>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</si>
  <si>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</si>
  <si>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</si>
  <si>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</si>
  <si>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</si>
  <si>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</si>
  <si>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</si>
  <si>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</si>
  <si>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</si>
  <si>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</si>
  <si>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</si>
  <si>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</si>
  <si>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</si>
  <si>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</si>
  <si>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</si>
  <si>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</si>
  <si>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</si>
  <si>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</si>
  <si>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</si>
  <si>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</si>
  <si>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</si>
  <si>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</si>
  <si>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</si>
  <si>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</si>
  <si>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</si>
  <si>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</si>
  <si>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</si>
  <si>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</si>
  <si>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</si>
  <si>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</si>
  <si>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</si>
  <si>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</si>
  <si>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</si>
  <si>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</si>
  <si>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</si>
  <si>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</si>
  <si>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</si>
  <si>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</si>
  <si>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</si>
  <si>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</si>
  <si>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</si>
  <si>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</si>
  <si>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</si>
  <si>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</si>
  <si>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</si>
  <si>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</si>
  <si>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</si>
  <si>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</si>
  <si>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</si>
  <si>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</si>
  <si>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</si>
  <si>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</si>
  <si>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</si>
  <si>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</si>
  <si>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</si>
  <si>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</si>
  <si>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</si>
  <si>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</si>
  <si>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</si>
  <si>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</si>
  <si>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</si>
  <si>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</si>
  <si>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</si>
  <si>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</si>
  <si>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</si>
  <si>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</si>
  <si>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</si>
  <si>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</si>
  <si>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</si>
  <si>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</si>
  <si>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</si>
  <si>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</si>
  <si>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</si>
  <si>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</si>
  <si>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</si>
  <si>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</si>
  <si>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</si>
  <si>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</si>
  <si>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</si>
  <si>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</si>
  <si>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</si>
  <si>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</si>
  <si>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</si>
  <si>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</si>
  <si>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</si>
  <si>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</si>
  <si>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</si>
  <si>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</si>
  <si>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</si>
  <si>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</si>
  <si>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</si>
  <si>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</si>
  <si>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</si>
  <si>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</si>
  <si>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</si>
  <si>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</si>
  <si>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</si>
  <si>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</si>
  <si>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</si>
  <si>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</si>
  <si>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</si>
  <si>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</si>
  <si>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</si>
  <si>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</si>
  <si>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</si>
  <si>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</si>
  <si>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</si>
  <si>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</si>
  <si>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</si>
  <si>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</si>
  <si>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</si>
  <si>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</si>
  <si>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</si>
  <si>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</si>
  <si>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</si>
  <si>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</si>
  <si>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</si>
  <si>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</si>
  <si>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</si>
  <si>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</si>
  <si>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</si>
  <si>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</si>
  <si>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</si>
  <si>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</si>
  <si>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</si>
  <si>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</si>
  <si>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</si>
  <si>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</si>
  <si>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</si>
  <si>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</si>
  <si>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</si>
  <si>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</si>
  <si>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</si>
  <si>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</si>
  <si>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</si>
  <si>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</si>
  <si>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</si>
  <si>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</si>
  <si>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</si>
  <si>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</si>
  <si>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</si>
  <si>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</si>
  <si>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</si>
  <si>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</si>
  <si>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</si>
  <si>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</si>
  <si>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</si>
  <si>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</si>
  <si>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</si>
  <si>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</si>
  <si>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</si>
  <si>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</si>
  <si>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</si>
  <si>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</si>
  <si>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</si>
  <si>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</si>
  <si>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</si>
  <si>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</si>
  <si>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</si>
  <si>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</si>
  <si>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</si>
  <si>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</si>
  <si>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</si>
  <si>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</si>
  <si>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</si>
  <si>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</si>
  <si>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</si>
  <si>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</si>
  <si>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</si>
  <si>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</si>
  <si>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</si>
  <si>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</si>
  <si>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</si>
  <si>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</si>
  <si>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</si>
  <si>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</si>
  <si>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</si>
  <si>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</si>
  <si>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</si>
  <si>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</si>
  <si>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</si>
  <si>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</si>
  <si>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</si>
  <si>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</si>
  <si>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</si>
  <si>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</si>
  <si>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</si>
  <si>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</si>
  <si>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</si>
  <si>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</si>
  <si>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</si>
  <si>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</si>
  <si>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</si>
  <si>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</si>
  <si>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</si>
  <si>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</si>
  <si>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</si>
  <si>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</si>
  <si>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</si>
  <si>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</si>
  <si>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</si>
  <si>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</si>
  <si>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</si>
  <si>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</si>
  <si>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</si>
  <si>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</si>
  <si>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</si>
  <si>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</si>
  <si>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</si>
  <si>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</si>
  <si>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</si>
  <si>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</si>
  <si>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</si>
  <si>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</si>
  <si>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</si>
  <si>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</si>
  <si>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</si>
  <si>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</si>
  <si>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</si>
  <si>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</si>
  <si>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</si>
  <si>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</si>
  <si>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</si>
  <si>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</si>
  <si>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</si>
  <si>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</si>
  <si>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</si>
  <si>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</si>
  <si>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</si>
  <si>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</si>
  <si>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</si>
  <si>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</si>
  <si>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</si>
  <si>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</si>
  <si>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</si>
  <si>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</si>
  <si>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</si>
  <si>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</si>
  <si>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</si>
  <si>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</si>
  <si>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</si>
  <si>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</si>
  <si>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</si>
  <si>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</si>
  <si>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</si>
  <si>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</si>
  <si>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</si>
  <si>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</si>
  <si>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</si>
  <si>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</si>
  <si>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</si>
  <si>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</si>
  <si>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</si>
  <si>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</si>
  <si>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</si>
  <si>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</si>
  <si>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</si>
  <si>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</si>
  <si>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</si>
  <si>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</si>
  <si>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</si>
  <si>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</si>
  <si>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</si>
  <si>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</si>
  <si>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</si>
  <si>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</si>
  <si>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</si>
  <si>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</si>
  <si>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</si>
  <si>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</si>
  <si>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</si>
  <si>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</si>
  <si>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</si>
  <si>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</si>
  <si>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</si>
  <si>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</si>
  <si>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</si>
  <si>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</si>
  <si>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</si>
  <si>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</si>
  <si>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</si>
  <si>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</si>
  <si>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</si>
  <si>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</si>
  <si>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</si>
  <si>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</si>
  <si>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</si>
  <si>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</si>
  <si>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</si>
  <si>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</si>
  <si>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</si>
  <si>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</si>
  <si>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</si>
  <si>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</si>
  <si>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</si>
  <si>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</si>
  <si>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</si>
  <si>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</si>
  <si>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</si>
  <si>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</si>
  <si>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</si>
  <si>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</si>
  <si>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</si>
  <si>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</si>
  <si>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</si>
  <si>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</si>
  <si>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</si>
  <si>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</si>
  <si>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</si>
  <si>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</si>
  <si>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</si>
  <si>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</si>
  <si>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</si>
  <si>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</si>
  <si>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</si>
  <si>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</si>
  <si>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</si>
  <si>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</si>
  <si>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</si>
  <si>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</si>
  <si>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</si>
  <si>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</si>
  <si>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</si>
  <si>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</si>
  <si>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</si>
  <si>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</si>
  <si>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</si>
  <si>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</si>
  <si>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</si>
  <si>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</si>
  <si>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</si>
  <si>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</si>
  <si>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</si>
  <si>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</si>
  <si>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</si>
  <si>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</si>
  <si>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</si>
  <si>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</si>
  <si>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</si>
  <si>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</si>
  <si>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</si>
  <si>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</si>
  <si>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</si>
  <si>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</si>
  <si>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</si>
  <si>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</si>
  <si>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</si>
  <si>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</si>
  <si>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</si>
  <si>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</si>
  <si>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</si>
  <si>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</si>
  <si>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</si>
  <si>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</si>
  <si>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</si>
  <si>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</si>
  <si>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</si>
  <si>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</si>
  <si>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</si>
  <si>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</si>
  <si>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</si>
  <si>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</si>
  <si>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</si>
  <si>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</si>
  <si>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</si>
  <si>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</si>
  <si>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</si>
  <si>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</si>
  <si>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</si>
  <si>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</si>
  <si>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</si>
  <si>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</si>
  <si>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</si>
  <si>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</si>
  <si>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</si>
  <si>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</si>
  <si>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</si>
  <si>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</si>
  <si>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</si>
  <si>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</si>
  <si>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</si>
  <si>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</si>
  <si>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</si>
  <si>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</si>
  <si>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</si>
  <si>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</si>
  <si>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</si>
  <si>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</si>
  <si>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</si>
  <si>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</si>
  <si>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</si>
  <si>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</si>
  <si>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</si>
  <si>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</si>
  <si>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</si>
  <si>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</si>
  <si>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</si>
  <si>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</si>
  <si>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</si>
  <si>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</si>
  <si>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</si>
  <si>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</si>
  <si>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</si>
  <si>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</si>
  <si>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</si>
  <si>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</si>
  <si>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</si>
  <si>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</si>
  <si>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</si>
  <si>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</si>
  <si>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</si>
  <si>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</si>
  <si>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</si>
  <si>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</si>
  <si>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</si>
  <si>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</si>
  <si>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</si>
  <si>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</si>
  <si>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</si>
  <si>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</si>
  <si>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</si>
  <si>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</si>
  <si>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</si>
  <si>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</si>
  <si>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</si>
  <si>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</si>
  <si>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</si>
  <si>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</si>
  <si>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</si>
  <si>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</si>
  <si>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</si>
  <si>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</si>
  <si>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</si>
  <si>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</si>
  <si>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</si>
  <si>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</si>
  <si>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</si>
  <si>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</si>
  <si>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</si>
  <si>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</si>
  <si>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</si>
  <si>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</si>
  <si>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</si>
  <si>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</si>
  <si>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</si>
  <si>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</si>
  <si>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</si>
  <si>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</si>
  <si>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</si>
  <si>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</si>
  <si>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</si>
  <si>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</si>
  <si>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</si>
  <si>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</si>
  <si>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</si>
  <si>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</si>
  <si>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</si>
  <si>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</si>
  <si>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</si>
  <si>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</si>
  <si>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</si>
  <si>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</si>
  <si>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</si>
  <si>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</si>
  <si>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</si>
  <si>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</si>
  <si>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</si>
  <si>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</si>
  <si>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</si>
  <si>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</si>
  <si>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</si>
  <si>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</si>
  <si>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</si>
  <si>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</si>
  <si>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</si>
  <si>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</si>
  <si>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</si>
  <si>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</si>
  <si>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</si>
  <si>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</si>
  <si>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</si>
  <si>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</si>
  <si>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</si>
  <si>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</si>
  <si>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</si>
  <si>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</si>
  <si>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</si>
  <si>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</si>
  <si>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</si>
  <si>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</si>
  <si>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</si>
  <si>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</si>
  <si>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</si>
  <si>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</si>
  <si>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</si>
  <si>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</si>
  <si>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</si>
  <si>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</si>
  <si>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</si>
  <si>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</si>
  <si>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</si>
  <si>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</si>
  <si>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</si>
  <si>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</si>
  <si>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</si>
  <si>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</si>
  <si>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</si>
  <si>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</si>
  <si>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</si>
  <si>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</si>
  <si>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</si>
  <si>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</si>
  <si>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</si>
  <si>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</si>
  <si>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</si>
  <si>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</si>
  <si>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</si>
  <si>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</si>
  <si>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</si>
  <si>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</si>
  <si>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</si>
  <si>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</si>
  <si>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</si>
  <si>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</si>
  <si>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</si>
  <si>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</si>
  <si>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</si>
  <si>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</si>
  <si>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</si>
  <si>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</si>
  <si>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</si>
  <si>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</si>
  <si>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</si>
  <si>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</si>
  <si>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</si>
  <si>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</si>
  <si>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</si>
  <si>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</si>
  <si>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</si>
  <si>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</si>
  <si>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</si>
  <si>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</si>
  <si>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</si>
  <si>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</si>
  <si>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</si>
  <si>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</si>
  <si>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</si>
  <si>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</si>
  <si>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</si>
  <si>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</si>
  <si>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</si>
  <si>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</si>
  <si>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</si>
  <si>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</si>
  <si>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</si>
  <si>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</si>
  <si>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</si>
  <si>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</si>
  <si>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</si>
  <si>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</si>
  <si>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</si>
  <si>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</si>
  <si>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</si>
  <si>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</si>
  <si>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</si>
  <si>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</si>
  <si>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</si>
  <si>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</si>
  <si>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</si>
  <si>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</si>
  <si>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</si>
  <si>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</si>
  <si>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</si>
  <si>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</si>
  <si>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5/7/2018)</t>
    </r>
  </si>
  <si>
    <t>Villas of Sherman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</si>
</sst>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9" xfId="0" applyFont="1" applyFill="1" applyBorder="1" applyAlignment="1" applyProtection="1">
      <alignment horizontal="center"/>
      <protection hidden="1"/>
    </xf>
    <xf numFmtId="0" fontId="40" fillId="23"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50" fillId="3" borderId="0" xfId="0" applyFont="1" applyFill="1" applyBorder="1" applyAlignment="1" applyProtection="1">
      <alignment horizontal="left" vertical="top" wrapText="1" inden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P1109"/>
  <sheetViews>
    <sheetView showGridLines="0" tabSelected="1" topLeftCell="A2" zoomScale="85" zoomScaleNormal="85" workbookViewId="0">
      <selection activeCell="A9" sqref="A9:L9"/>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customWidth="1"/>
    <col min="62" max="62" width="13" style="6" customWidth="1"/>
    <col min="63" max="97" width="9.140625" style="6" customWidth="1"/>
    <col min="98" max="16384" width="9.140625" style="6"/>
  </cols>
  <sheetData>
    <row r="1" spans="1:60" ht="17.25" hidden="1" customHeight="1" thickBot="1"/>
    <row r="2" spans="1:60" ht="83.25" customHeight="1" thickBot="1">
      <c r="A2" s="145" t="s">
        <v>1588</v>
      </c>
      <c r="B2" s="345" t="s">
        <v>3006</v>
      </c>
      <c r="C2" s="345"/>
      <c r="D2" s="345"/>
      <c r="E2" s="345"/>
      <c r="F2" s="345"/>
      <c r="G2" s="345"/>
      <c r="H2" s="345"/>
      <c r="I2" s="345"/>
      <c r="J2" s="345"/>
      <c r="K2" s="345"/>
      <c r="L2" s="345"/>
      <c r="M2" s="346"/>
      <c r="N2" s="142" t="s">
        <v>1590</v>
      </c>
      <c r="AU2" s="208"/>
      <c r="AV2" s="208"/>
    </row>
    <row r="3" spans="1:60" ht="27" customHeight="1">
      <c r="A3" s="172" t="s">
        <v>1366</v>
      </c>
      <c r="B3" s="365" t="s">
        <v>3007</v>
      </c>
      <c r="C3" s="365"/>
      <c r="D3" s="365"/>
      <c r="E3" s="365"/>
      <c r="F3" s="365"/>
      <c r="G3" s="365"/>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53" t="s">
        <v>1361</v>
      </c>
      <c r="B5" s="354"/>
      <c r="C5" s="354"/>
      <c r="D5" s="354"/>
      <c r="E5" s="354"/>
      <c r="F5" s="354"/>
      <c r="G5" s="354"/>
      <c r="H5" s="354"/>
      <c r="I5" s="354"/>
      <c r="J5" s="354"/>
      <c r="K5" s="354"/>
      <c r="L5" s="354"/>
      <c r="M5" s="175"/>
      <c r="N5" s="170" t="s">
        <v>1587</v>
      </c>
    </row>
    <row r="6" spans="1:60" ht="26.25" customHeight="1">
      <c r="A6" s="348" t="s">
        <v>2113</v>
      </c>
      <c r="B6" s="349"/>
      <c r="C6" s="349"/>
      <c r="D6" s="349"/>
      <c r="E6" s="349"/>
      <c r="F6" s="349"/>
      <c r="G6" s="349"/>
      <c r="H6" s="349"/>
      <c r="I6" s="349"/>
      <c r="J6" s="349"/>
      <c r="K6" s="349"/>
      <c r="L6" s="349"/>
      <c r="M6" s="175"/>
      <c r="N6" s="171" t="s">
        <v>1585</v>
      </c>
    </row>
    <row r="7" spans="1:60" ht="21" customHeight="1">
      <c r="A7" s="348" t="s">
        <v>2114</v>
      </c>
      <c r="B7" s="349"/>
      <c r="C7" s="349"/>
      <c r="D7" s="349"/>
      <c r="E7" s="349"/>
      <c r="F7" s="349"/>
      <c r="G7" s="349"/>
      <c r="H7" s="349"/>
      <c r="I7" s="349"/>
      <c r="J7" s="349"/>
      <c r="K7" s="349"/>
      <c r="L7" s="349"/>
      <c r="M7" s="175"/>
      <c r="N7" s="144"/>
    </row>
    <row r="8" spans="1:60" ht="29.25" customHeight="1">
      <c r="A8" s="348" t="s">
        <v>2430</v>
      </c>
      <c r="B8" s="349"/>
      <c r="C8" s="349"/>
      <c r="D8" s="349"/>
      <c r="E8" s="349"/>
      <c r="F8" s="349"/>
      <c r="G8" s="349"/>
      <c r="H8" s="349"/>
      <c r="I8" s="349"/>
      <c r="J8" s="349"/>
      <c r="K8" s="349"/>
      <c r="L8" s="349"/>
      <c r="M8" s="175"/>
      <c r="AW8" s="6" t="s">
        <v>2181</v>
      </c>
    </row>
    <row r="9" spans="1:60" ht="25.5" customHeight="1">
      <c r="A9" s="348" t="s">
        <v>2433</v>
      </c>
      <c r="B9" s="349"/>
      <c r="C9" s="349"/>
      <c r="D9" s="349"/>
      <c r="E9" s="349"/>
      <c r="F9" s="349"/>
      <c r="G9" s="349"/>
      <c r="H9" s="349"/>
      <c r="I9" s="349"/>
      <c r="J9" s="349"/>
      <c r="K9" s="349"/>
      <c r="L9" s="349"/>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63" t="str">
        <f>IF(OR(B11=0,B1=0,B18=0,B16=0),"PLEASE COMPLETE ALL FIELDS.","")</f>
        <v>PLEASE COMPLETE ALL FIELDS.</v>
      </c>
      <c r="B10" s="364"/>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83</v>
      </c>
      <c r="D11" s="8" t="s">
        <v>1421</v>
      </c>
      <c r="E11" s="7"/>
      <c r="F11" s="7"/>
      <c r="G11" s="26"/>
      <c r="H11" s="185" t="s">
        <v>3004</v>
      </c>
      <c r="I11" s="27"/>
      <c r="J11" s="27"/>
      <c r="K11" s="186">
        <f>S186</f>
        <v>65200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253</v>
      </c>
      <c r="D13" s="357" t="s">
        <v>1362</v>
      </c>
      <c r="E13" s="360" t="s">
        <v>1363</v>
      </c>
      <c r="F13" s="361"/>
      <c r="G13" s="361"/>
      <c r="H13" s="361"/>
      <c r="I13" s="361"/>
      <c r="J13" s="361"/>
      <c r="K13" s="361"/>
      <c r="L13" s="362"/>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58"/>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14010</v>
      </c>
      <c r="F15" s="82">
        <f t="shared" si="1"/>
        <v>16020</v>
      </c>
      <c r="G15" s="82">
        <f t="shared" si="1"/>
        <v>18030</v>
      </c>
      <c r="H15" s="82">
        <f t="shared" si="1"/>
        <v>20010</v>
      </c>
      <c r="I15" s="82">
        <f t="shared" si="1"/>
        <v>21630</v>
      </c>
      <c r="J15" s="82">
        <f t="shared" si="1"/>
        <v>23220</v>
      </c>
      <c r="K15" s="82">
        <f t="shared" si="1"/>
        <v>24840</v>
      </c>
      <c r="L15" s="82">
        <f t="shared" si="1"/>
        <v>26430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18680</v>
      </c>
      <c r="F16" s="83">
        <f t="shared" si="2"/>
        <v>21360</v>
      </c>
      <c r="G16" s="83">
        <f t="shared" si="2"/>
        <v>24040</v>
      </c>
      <c r="H16" s="83">
        <f t="shared" si="2"/>
        <v>26680</v>
      </c>
      <c r="I16" s="83">
        <f t="shared" si="2"/>
        <v>28840</v>
      </c>
      <c r="J16" s="83">
        <f t="shared" si="2"/>
        <v>30960</v>
      </c>
      <c r="K16" s="83">
        <f t="shared" si="2"/>
        <v>33120</v>
      </c>
      <c r="L16" s="83">
        <f t="shared" si="2"/>
        <v>35240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23350</v>
      </c>
      <c r="F17" s="83">
        <f t="shared" si="2"/>
        <v>26700</v>
      </c>
      <c r="G17" s="83">
        <f t="shared" si="2"/>
        <v>30050</v>
      </c>
      <c r="H17" s="83">
        <f t="shared" si="2"/>
        <v>33350</v>
      </c>
      <c r="I17" s="83">
        <f t="shared" si="2"/>
        <v>36050</v>
      </c>
      <c r="J17" s="83">
        <f t="shared" si="2"/>
        <v>38700</v>
      </c>
      <c r="K17" s="83">
        <f t="shared" si="2"/>
        <v>41400</v>
      </c>
      <c r="L17" s="83">
        <f t="shared" si="2"/>
        <v>44050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28020</v>
      </c>
      <c r="F18" s="83">
        <f t="shared" si="2"/>
        <v>32040</v>
      </c>
      <c r="G18" s="83">
        <f t="shared" si="2"/>
        <v>36060</v>
      </c>
      <c r="H18" s="83">
        <f t="shared" si="2"/>
        <v>40020</v>
      </c>
      <c r="I18" s="83">
        <f t="shared" si="2"/>
        <v>43260</v>
      </c>
      <c r="J18" s="83">
        <f t="shared" si="2"/>
        <v>46440</v>
      </c>
      <c r="K18" s="83">
        <f t="shared" si="2"/>
        <v>49680</v>
      </c>
      <c r="L18" s="83">
        <f t="shared" si="2"/>
        <v>52860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37360</v>
      </c>
      <c r="F19" s="83">
        <f t="shared" si="2"/>
        <v>42720</v>
      </c>
      <c r="G19" s="83">
        <f t="shared" si="2"/>
        <v>48080</v>
      </c>
      <c r="H19" s="83">
        <f t="shared" si="2"/>
        <v>53360</v>
      </c>
      <c r="I19" s="83">
        <f t="shared" si="2"/>
        <v>57680</v>
      </c>
      <c r="J19" s="83">
        <f t="shared" si="2"/>
        <v>61920</v>
      </c>
      <c r="K19" s="83">
        <f t="shared" si="2"/>
        <v>66240</v>
      </c>
      <c r="L19" s="83">
        <f t="shared" si="2"/>
        <v>70480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55" t="str">
        <f>IF(OR($B$16=$AS$15,$B$16=$AS$13),"(5) LURA Date (should be same selection as above):","(5) Carryover / Determination Notice / Subaward Agreement Date:")</f>
        <v>(5) Carryover / Determination Notice / Subaward Agreement Date:</v>
      </c>
      <c r="B23" s="356"/>
      <c r="D23" s="93" t="s">
        <v>1422</v>
      </c>
      <c r="E23" s="7"/>
      <c r="F23" s="359"/>
      <c r="G23" s="359"/>
      <c r="H23" s="359"/>
      <c r="I23" s="359"/>
      <c r="J23" s="359"/>
      <c r="K23" s="359"/>
      <c r="L23" s="359"/>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51" t="s">
        <v>1012</v>
      </c>
      <c r="B24" s="352"/>
      <c r="D24" s="357" t="s">
        <v>1362</v>
      </c>
      <c r="E24" s="361" t="s">
        <v>1358</v>
      </c>
      <c r="F24" s="361"/>
      <c r="G24" s="361"/>
      <c r="H24" s="361"/>
      <c r="I24" s="361"/>
      <c r="J24" s="361"/>
      <c r="K24" s="361"/>
      <c r="L24" s="362"/>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58"/>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 si="4">IF(OR($B$11=0,$B$18=0,$A$24=0,),"",IF(OR($B$16=$AS$14,$B$16=$AS$13),IF($B$29=$AP$10,$E199,IF($B$29=$AP$11,$E206,"")),IF($B$16=$AS$16,E235,ROUNDDOWN(0.3*E50/12,0))))</f>
        <v>350</v>
      </c>
      <c r="F26" s="87">
        <f>IF(OR($B$11=0,$B$18=0,$A$24=0,),"",IF(OR($B$16=$AS$14,$B$16=$AS$13),IF($B$29=$AP$10,$F199,IF($B$29=$AP$11,$F206,"")),IF($B$16=$AS$16,F235,ROUNDDOWN(AVERAGE(E50,F50)/12*0.3,0))))</f>
        <v>375</v>
      </c>
      <c r="G26" s="87">
        <f>IF(OR($B$11=0,$B$18=0,$A$24=0,),"",IF(OR($B$16=$AS$14,$B$16=$AS$13),IF($B$29=$AP$10,$G199,IF($B$29=$AP$11,$G206,"")),IF($B$16=$AS$16,G235,ROUNDDOWN(0.3*G50/12,0))))</f>
        <v>450</v>
      </c>
      <c r="H26" s="87">
        <f>IF(OR($B$11=0,$B$18=0,$A$24=0,),"",IF(OR($B$16=$AS$14,$B$16=$AS$13),IF($B$29=$AP$10,$H199,IF($B$29=$AP$11,$H206,"")),IF($B$16=$AS$16,H235,ROUNDDOWN(AVERAGE(I50,H50)/12*0.3,0))))</f>
        <v>520</v>
      </c>
      <c r="I26" s="87">
        <f>IF(OR($B$11=0,$B$18=0,$A$24=0,),"",IF(OR($B$16=$AS$14,$B$16=$AS$13),IF($B$29=$AP$10,$I199,IF($B$29=$AP$11,$I206,"")),IF($B$16=$AS$16,I235,ROUNDDOWN(0.3*J50/12,0))))</f>
        <v>580</v>
      </c>
      <c r="J26" s="87">
        <f>IF(OR($B$11=0,$B$18=0,$A$24=0,),"",IF(OR($B$16=$AS$14,$B$16=$AS$13),IF($B$29=$AP$10,$J199,IF($B$29=$AP$11,$J206,"")),IF($B$16=$AS$16,J235,ROUNDDOWN(AVERAGE(K50,L50)/12*0.3,0))))</f>
        <v>640</v>
      </c>
      <c r="K26" s="13"/>
      <c r="L26" s="14"/>
      <c r="M26" s="175"/>
      <c r="N26" s="350"/>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66" t="s">
        <v>2125</v>
      </c>
      <c r="B27" s="367"/>
      <c r="D27" s="81">
        <f>IF($B$16=$AS$16,"",40)</f>
        <v>40</v>
      </c>
      <c r="E27" s="88">
        <f t="shared" ref="E27" si="5">IF(OR($B$11=0,$B$18=0,$A$24=0,),"",IF(OR($B$16=$AS$14,$B$16=$AS$13),IF($B$29=$AP$10,$E200,IF($B$29=$AP$11,$E$207,"")),IF($B$16=$AS$16,"",ROUNDDOWN(0.3*E51/12,0))))</f>
        <v>467</v>
      </c>
      <c r="F27" s="88">
        <f>IF(OR($B$11=0,$B$18=0,$A$24=0,),"",IF(OR($B$16=$AS$14,$B$16=$AS$13),IF($B$29=$AP$10,$F200,IF($B$29=$AP$11,$F$207,"")),IF($B$16=$AS$16,"",ROUNDDOWN(AVERAGE(E51,F51)/12*0.3,0))))</f>
        <v>500</v>
      </c>
      <c r="G27" s="88">
        <f>IF(OR($B$11=0,$B$18=0,$A$24=0,),"",IF(OR($B$16=$AS$14,$B$16=$AS$13),IF($B$29=$AP$10,$G200,IF($B$29=$AP$11,$G$207,"")),IF($B$16=$AS$16,"",ROUNDDOWN(0.3*G51/12,0))))</f>
        <v>601</v>
      </c>
      <c r="H27" s="88">
        <f>IF(OR($B$11=0,$B$18=0,$A$24=0,),"",IF(OR($B$16=$AS$14,$B$16=$AS$13),IF($B$29=$AP$10,$H200,IF($B$29=$AP$11,$H$207,"")),IF($B$16=$AS$16,"",ROUNDDOWN(AVERAGE(I51,H51)/12*0.3,0))))</f>
        <v>694</v>
      </c>
      <c r="I27" s="88">
        <f>IF(OR($B$11=0,$B$18=0,$A$24=0,),"",IF(OR($B$16=$AS$14,$B$16=$AS$13),IF($B$29=$AP$10,$I200,IF($B$29=$AP$11,$I$207,"")),IF($B$16=$AS$16,"",ROUNDDOWN(0.3*J51/12,0))))</f>
        <v>774</v>
      </c>
      <c r="J27" s="88">
        <f>IF(OR($B$11=0,$B$18=0,$A$24=0,),"",IF(OR($B$16=$AS$14,$B$16=$AS$13),IF($B$29=$AP$10,$J200,IF($B$29=$AP$11,$J$207,"")),IF($B$16=$AS$16,"",ROUNDDOWN(AVERAGE(K51,L51)/12*0.3,0))))</f>
        <v>854</v>
      </c>
      <c r="K27" s="13"/>
      <c r="L27" s="14"/>
      <c r="M27" s="175"/>
      <c r="N27" s="350"/>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66"/>
      <c r="B28" s="367"/>
      <c r="D28" s="84">
        <f>IF(OR(B16=AS14,B16=$AS$13),"Low",IF($B$16=$AS$16,"",50))</f>
        <v>50</v>
      </c>
      <c r="E28" s="88">
        <f t="shared" ref="E28" si="6">IF(OR($B$11=0,$B$18=0,$A$24=0,),"",IF(OR($B$16=$AS$14,$B$16=$AS$13),IF($B$29=$AP$10,$E201,IF($B$29=$AP$11,$E$208,"")),IF($B$16=$AS$16,"",ROUNDDOWN(0.3*E52/12,0))))</f>
        <v>583</v>
      </c>
      <c r="F28" s="88">
        <f>IF(OR($B$11=0,$B$18=0,$A$24=0,),"",IF(OR($B$16=$AS$14,$B$16=$AS$13),IF($B$29=$AP$10,$F201,IF($B$29=$AP$11,$F$208,"")),IF($B$16=$AS$16,"",ROUNDDOWN(AVERAGE(E52,F52)/12*0.3,0))))</f>
        <v>625</v>
      </c>
      <c r="G28" s="88">
        <f>IF(OR($B$11=0,$B$18=0,$A$24=0,),"",IF(OR($B$16=$AS$14,$B$16=$AS$13),IF($B$29=$AP$10,$G201,IF($B$29=$AP$11,$G$208,"")),IF($B$16=$AS$16,"",ROUNDDOWN(0.3*G52/12,0))))</f>
        <v>751</v>
      </c>
      <c r="H28" s="88">
        <f>IF(OR($B$11=0,$B$18=0,$A$24=0,),"",IF(OR($B$16=$AS$14,$B$16=$AS$13),IF($B$29=$AP$10,$H201,IF($B$29=$AP$11,$H$208,"")),IF($B$16=$AS$16,"",ROUNDDOWN(AVERAGE(I52,H52)/12*0.3,0))))</f>
        <v>867</v>
      </c>
      <c r="I28" s="88">
        <f>IF(OR($B$11=0,$B$18=0,$A$24=0,),"",IF(OR($B$16=$AS$14,$B$16=$AS$13),IF($B$29=$AP$10,$I201,IF($B$29=$AP$11,$I$208,"")),IF($B$16=$AS$16,"",ROUNDDOWN(0.3*J52/12,0))))</f>
        <v>967</v>
      </c>
      <c r="J28" s="88">
        <f>IF(OR($B$11=0,$B$18=0,$A$24=0,),"",IF(OR($B$16=$AS$14,$B$16=$AS$13),IF($B$29=$AP$10,$J201,IF($B$29=$AP$11,$J$208,"")),IF($B$16=$AS$16,"",ROUNDDOWN(AVERAGE(K52,L52)/12*0.3,0))))</f>
        <v>1068</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 si="7">IF(OR($B$11=0,$B$18=0,$A$24=0,),"",IF(OR($B$16=$AS$14,$B$16=$AS$13),IF($B$29=$AP$10,$E202,IF($B$29=$AP$11,$E$209,"")),IF($B$16=$AS$16,"",ROUNDDOWN(0.3*E53/12,0))))</f>
        <v>700</v>
      </c>
      <c r="F29" s="88">
        <f>IF(OR($B$11=0,$B$18=0,$A$24=0,),"",IF(OR($B$16=$AS$14,$B$16=$AS$13),IF($B$29=$AP$10,$F202,IF($B$29=$AP$11,$F$209,"")),IF($B$16=$AS$16,"",ROUNDDOWN(AVERAGE(E53,F53)/12*0.3,0))))</f>
        <v>750</v>
      </c>
      <c r="G29" s="88">
        <f>IF(OR($B$11=0,$B$18=0,$A$24=0,),"",IF(OR($B$16=$AS$14,$B$16=$AS$13),IF($B$29=$AP$10,$G202,IF($B$29=$AP$11,$G$209,"")),IF($B$16=$AS$16,"",ROUNDDOWN(0.3*G53/12,0))))</f>
        <v>901</v>
      </c>
      <c r="H29" s="88">
        <f>IF(OR($B$11=0,$B$18=0,$A$24=0,),"",IF(OR($B$16=$AS$14,$B$16=$AS$13),IF($B$29=$AP$10,$H202,IF($B$29=$AP$11,$H$209,"")),IF($B$16=$AS$16,"",ROUNDDOWN(AVERAGE(I53,H53)/12*0.3,0))))</f>
        <v>1041</v>
      </c>
      <c r="I29" s="88">
        <f>IF(OR($B$11=0,$B$18=0,$A$24=0,),"",IF(OR($B$16=$AS$14,$B$16=$AS$13),IF($B$29=$AP$10,$I202,IF($B$29=$AP$11,$I$209,"")),IF($B$16=$AS$16,"",ROUNDDOWN(0.3*J53/12,0))))</f>
        <v>1161</v>
      </c>
      <c r="J29" s="88">
        <f>IF(OR($B$11=0,$B$18=0,$A$24=0,),"",IF(OR($B$16=$AS$14,$B$16=$AS$13),IF($B$29=$AP$10,$J202,IF($B$29=$AP$11,$J$209,"")),IF($B$16=$AS$16,"",ROUNDDOWN(AVERAGE(K53,L53)/12*0.3,0))))</f>
        <v>1281</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934</v>
      </c>
      <c r="F31" s="90">
        <f>IF(OR($B$11=0,$B$18=0,$A$24=0,$B$16=$AS$16),"",IF(OR($B$16=$A$13,$B$16=$AS$13),$F203,ROUNDDOWN(AVERAGE(E54,F54)/12*0.3,0)))</f>
        <v>1001</v>
      </c>
      <c r="G31" s="90">
        <f>IF(OR($B$11=0,$B$18=0,$A$24=0,$B$16=$AS$16),"",IF(OR($B$16=$A$13,$B$16=$AS$13),$G203,ROUNDDOWN(0.3*G54/12,0)))</f>
        <v>1202</v>
      </c>
      <c r="H31" s="90">
        <f>IF(OR($B$11=0,$B$18=0,$A$24=0,$B$16=$AS$16),"",IF(OR($B$16=$A$13,$B$16=$AS$13),H203,ROUNDDOWN(AVERAGE(I54,H54)/12*0.3,0)))</f>
        <v>1388</v>
      </c>
      <c r="I31" s="90">
        <f>IF(OR($B$11=0,$B$18=0,$A$24=0,$B$16=$AS$16),"",IF(OR($B$16=$A$13,$B$16=$AS$13),I203,ROUNDDOWN(0.3*J54/12,0)))</f>
        <v>1548</v>
      </c>
      <c r="J31" s="91">
        <f>IF(OR($B$11=0,$B$18=0,$A$24=0,$B$16=$AS$16),"",IF(OR($B$16=$A$13,$B$16=$AS$13),J203,ROUNDDOWN(AVERAGE(K54,L54)/12*0.3,0)))</f>
        <v>1709</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47" t="s">
        <v>3005</v>
      </c>
      <c r="B33" s="347"/>
      <c r="C33" s="347"/>
      <c r="D33" s="347"/>
      <c r="E33" s="347"/>
      <c r="F33" s="347"/>
      <c r="G33" s="347"/>
      <c r="H33" s="347"/>
      <c r="I33" s="347"/>
      <c r="J33" s="347"/>
      <c r="K33" s="347"/>
      <c r="L33" s="347"/>
      <c r="M33" s="347"/>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47" t="s">
        <v>1374</v>
      </c>
      <c r="B34" s="347"/>
      <c r="C34" s="347"/>
      <c r="D34" s="347"/>
      <c r="E34" s="347"/>
      <c r="F34" s="347"/>
      <c r="G34" s="347"/>
      <c r="H34" s="347"/>
      <c r="I34" s="347"/>
      <c r="J34" s="347"/>
      <c r="K34" s="347"/>
      <c r="L34" s="347"/>
      <c r="M34" s="347"/>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47"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47"/>
      <c r="C35" s="347"/>
      <c r="D35" s="347"/>
      <c r="E35" s="347"/>
      <c r="F35" s="347"/>
      <c r="G35" s="347"/>
      <c r="H35" s="347"/>
      <c r="I35" s="347"/>
      <c r="J35" s="347"/>
      <c r="K35" s="347"/>
      <c r="L35" s="347"/>
      <c r="M35" s="347"/>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47" t="s">
        <v>2431</v>
      </c>
      <c r="B36" s="347"/>
      <c r="C36" s="347"/>
      <c r="D36" s="347"/>
      <c r="E36" s="347"/>
      <c r="F36" s="347"/>
      <c r="G36" s="347"/>
      <c r="H36" s="347"/>
      <c r="I36" s="347"/>
      <c r="J36" s="347"/>
      <c r="K36" s="347"/>
      <c r="L36" s="347"/>
      <c r="M36" s="347"/>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29" t="s">
        <v>2115</v>
      </c>
      <c r="B37" s="329"/>
      <c r="C37" s="329"/>
      <c r="D37" s="329"/>
      <c r="E37" s="329"/>
      <c r="F37" s="329"/>
      <c r="G37" s="329"/>
      <c r="H37" s="329"/>
      <c r="I37" s="329"/>
      <c r="J37" s="329"/>
      <c r="K37" s="329"/>
      <c r="L37" s="329"/>
      <c r="M37" s="329"/>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33" t="s">
        <v>1359</v>
      </c>
      <c r="E40" s="330" t="s">
        <v>1365</v>
      </c>
      <c r="F40" s="331"/>
      <c r="G40" s="331"/>
      <c r="H40" s="331"/>
      <c r="I40" s="331"/>
      <c r="J40" s="331"/>
      <c r="K40" s="331"/>
      <c r="L40" s="332"/>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34"/>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14010</v>
      </c>
      <c r="F42" s="39">
        <f t="array" ref="F42">+MAX(IF($B57:$B77=1,F57:F77))</f>
        <v>16020</v>
      </c>
      <c r="G42" s="39">
        <f t="array" ref="G42">+MAX(IF($B57:$B77=1,G57:G77))</f>
        <v>18030</v>
      </c>
      <c r="H42" s="39">
        <f t="array" ref="H42">+MAX(IF($B57:$B77=1,H57:H77))</f>
        <v>20010</v>
      </c>
      <c r="I42" s="39">
        <f t="array" ref="I42">+MAX(IF($B57:$B77=1,I57:I77))</f>
        <v>21630</v>
      </c>
      <c r="J42" s="39">
        <f t="array" ref="J42">+MAX(IF($B57:$B77=1,J57:J77))</f>
        <v>23220</v>
      </c>
      <c r="K42" s="39">
        <f t="array" ref="K42">+MAX(IF($B57:$B77=1,K57:K77))</f>
        <v>24840</v>
      </c>
      <c r="L42" s="40">
        <f t="array" ref="L42">+MAX(IF($B57:$B77=1,L57:L77))</f>
        <v>26430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18680</v>
      </c>
      <c r="F43" s="21">
        <f t="array" ref="F43">+MAX(IF($B79:$B99=1,F79:F99))</f>
        <v>21360</v>
      </c>
      <c r="G43" s="21">
        <f t="array" ref="G43">+MAX(IF($B79:$B99=1,G79:G99))</f>
        <v>24040</v>
      </c>
      <c r="H43" s="21">
        <f t="array" ref="H43">+MAX(IF($B79:$B99=1,H79:H99))</f>
        <v>26680</v>
      </c>
      <c r="I43" s="21">
        <f t="array" ref="I43">+MAX(IF($B79:$B99=1,I79:I99))</f>
        <v>28840</v>
      </c>
      <c r="J43" s="21">
        <f t="array" ref="J43">+MAX(IF($B79:$B99=1,J79:J99))</f>
        <v>30960</v>
      </c>
      <c r="K43" s="21">
        <f t="array" ref="K43">+MAX(IF($B79:$B99=1,K79:K99))</f>
        <v>33120</v>
      </c>
      <c r="L43" s="22">
        <f t="array" ref="L43">+MAX(IF($B79:$B99=1,L79:L99))</f>
        <v>35240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23350</v>
      </c>
      <c r="F44" s="21">
        <f t="array" ref="F44">+MAX(IF($B101:$B121=1,F101:F121))</f>
        <v>26700</v>
      </c>
      <c r="G44" s="21">
        <f t="array" ref="G44">+MAX(IF($B101:$B121=1,G101:G121))</f>
        <v>30050</v>
      </c>
      <c r="H44" s="21">
        <f t="array" ref="H44">+MAX(IF($B101:$B121=1,H101:H121))</f>
        <v>33350</v>
      </c>
      <c r="I44" s="21">
        <f t="array" ref="I44">+MAX(IF($B101:$B121=1,I101:I121))</f>
        <v>36050</v>
      </c>
      <c r="J44" s="21">
        <f t="array" ref="J44">+MAX(IF($B101:$B121=1,J101:J121))</f>
        <v>38700</v>
      </c>
      <c r="K44" s="21">
        <f t="array" ref="K44">+MAX(IF($B101:$B121=1,K101:K121))</f>
        <v>41400</v>
      </c>
      <c r="L44" s="22">
        <f t="array" ref="L44">+MAX(IF($B101:$B121=1,L101:L121))</f>
        <v>44050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28020</v>
      </c>
      <c r="F45" s="21">
        <f t="array" ref="F45">+MAX(IF($B123:$B143=1,F123:F143))</f>
        <v>32040</v>
      </c>
      <c r="G45" s="21">
        <f t="array" ref="G45">+MAX(IF($B123:$B143=1,G123:G143))</f>
        <v>36060</v>
      </c>
      <c r="H45" s="21">
        <f t="array" ref="H45">+MAX(IF($B123:$B143=1,H123:H143))</f>
        <v>40020</v>
      </c>
      <c r="I45" s="21">
        <f t="array" ref="I45">+MAX(IF($B123:$B143=1,I123:I143))</f>
        <v>43260</v>
      </c>
      <c r="J45" s="21">
        <f t="array" ref="J45">+MAX(IF($B123:$B143=1,J123:J143))</f>
        <v>46440</v>
      </c>
      <c r="K45" s="21">
        <f t="array" ref="K45">+MAX(IF($B123:$B143=1,K123:K143))</f>
        <v>49680</v>
      </c>
      <c r="L45" s="22">
        <f t="array" ref="L45">+MAX(IF($B123:$B143=1,L123:L143))</f>
        <v>52860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37360</v>
      </c>
      <c r="F46" s="24">
        <f t="array" ref="F46">+MAX(IF($B145:$B165=1,F145:F165))</f>
        <v>42720</v>
      </c>
      <c r="G46" s="24">
        <f t="array" ref="G46">+MAX(IF($B145:$B165=1,G145:G165))</f>
        <v>48080</v>
      </c>
      <c r="H46" s="24">
        <f t="array" ref="H46">+MAX(IF($B145:$B165=1,H145:H165))</f>
        <v>53360</v>
      </c>
      <c r="I46" s="24">
        <f t="array" ref="I46">+MAX(IF($B145:$B165=1,I145:I165))</f>
        <v>57680</v>
      </c>
      <c r="J46" s="24">
        <f t="array" ref="J46">+MAX(IF($B145:$B165=1,J145:J165))</f>
        <v>61920</v>
      </c>
      <c r="K46" s="24">
        <f t="array" ref="K46">+MAX(IF($B145:$B165=1,K145:K165))</f>
        <v>66240</v>
      </c>
      <c r="L46" s="25">
        <f t="array" ref="L46">+MAX(IF($B145:$B165=1,L145:L165))</f>
        <v>70480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33" t="s">
        <v>1359</v>
      </c>
      <c r="E48" s="330" t="s">
        <v>1420</v>
      </c>
      <c r="F48" s="331"/>
      <c r="G48" s="331"/>
      <c r="H48" s="331"/>
      <c r="I48" s="331"/>
      <c r="J48" s="331"/>
      <c r="K48" s="331"/>
      <c r="L48" s="332"/>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34"/>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14010</v>
      </c>
      <c r="F50" s="39">
        <f t="array" ref="F50">+MAX(IF($C57:$C77=1,F57:F77))</f>
        <v>16020</v>
      </c>
      <c r="G50" s="39">
        <f t="array" ref="G50">+MAX(IF($C57:$C77=1,G57:G77))</f>
        <v>18030</v>
      </c>
      <c r="H50" s="39">
        <f t="array" ref="H50">+MAX(IF($C57:$C77=1,H57:H77))</f>
        <v>20010</v>
      </c>
      <c r="I50" s="39">
        <f t="array" ref="I50">+MAX(IF($C57:$C77=1,I57:I77))</f>
        <v>21630</v>
      </c>
      <c r="J50" s="39">
        <f t="array" ref="J50">+MAX(IF($C57:$C77=1,J57:J77))</f>
        <v>23220</v>
      </c>
      <c r="K50" s="39">
        <f t="array" ref="K50">+MAX(IF($C57:$C77=1,K57:K77))</f>
        <v>24840</v>
      </c>
      <c r="L50" s="40">
        <f t="array" ref="L50">+MAX(IF($C57:$C77=1,L57:L77))</f>
        <v>26430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18680</v>
      </c>
      <c r="F51" s="21">
        <f t="array" ref="F51">+MAX(IF($C79:$C99=1,F79:F99))</f>
        <v>21360</v>
      </c>
      <c r="G51" s="21">
        <f t="array" ref="G51">+MAX(IF($C79:$C99=1,G79:G99))</f>
        <v>24040</v>
      </c>
      <c r="H51" s="21">
        <f t="array" ref="H51">+MAX(IF($C79:$C99=1,H79:H99))</f>
        <v>26680</v>
      </c>
      <c r="I51" s="21">
        <f t="array" ref="I51">+MAX(IF($C79:$C99=1,I79:I99))</f>
        <v>28840</v>
      </c>
      <c r="J51" s="21">
        <f t="array" ref="J51">+MAX(IF($C79:$C99=1,J79:J99))</f>
        <v>30960</v>
      </c>
      <c r="K51" s="21">
        <f t="array" ref="K51">+MAX(IF($C79:$C99=1,K79:K99))</f>
        <v>33120</v>
      </c>
      <c r="L51" s="22">
        <f t="array" ref="L51">+MAX(IF($C79:$C99=1,L79:L99))</f>
        <v>35240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23350</v>
      </c>
      <c r="F52" s="21">
        <f t="array" ref="F52">+MAX(IF($C101:$C121=1,F101:F121))</f>
        <v>26700</v>
      </c>
      <c r="G52" s="21">
        <f t="array" ref="G52">+MAX(IF($C101:$C121=1,G101:G121))</f>
        <v>30050</v>
      </c>
      <c r="H52" s="21">
        <f t="array" ref="H52">+MAX(IF($C101:$C121=1,H101:H121))</f>
        <v>33350</v>
      </c>
      <c r="I52" s="21">
        <f t="array" ref="I52">+MAX(IF($C101:$C121=1,I101:I121))</f>
        <v>36050</v>
      </c>
      <c r="J52" s="21">
        <f t="array" ref="J52">+MAX(IF($C101:$C121=1,J101:J121))</f>
        <v>38700</v>
      </c>
      <c r="K52" s="21">
        <f t="array" ref="K52">+MAX(IF($C101:$C121=1,K101:K121))</f>
        <v>41400</v>
      </c>
      <c r="L52" s="22">
        <f t="array" ref="L52">+MAX(IF($C101:$C121=1,L101:L121))</f>
        <v>44050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28020</v>
      </c>
      <c r="F53" s="21">
        <f t="array" ref="F53">+MAX(IF($C123:$C143=1,F123:F143))</f>
        <v>32040</v>
      </c>
      <c r="G53" s="21">
        <f t="array" ref="G53">+MAX(IF($C123:$C143=1,G123:G143))</f>
        <v>36060</v>
      </c>
      <c r="H53" s="21">
        <f t="array" ref="H53">+MAX(IF($C123:$C143=1,H123:H143))</f>
        <v>40020</v>
      </c>
      <c r="I53" s="21">
        <f t="array" ref="I53">+MAX(IF($C123:$C143=1,I123:I143))</f>
        <v>43260</v>
      </c>
      <c r="J53" s="21">
        <f t="array" ref="J53">+MAX(IF($C123:$C143=1,J123:J143))</f>
        <v>46440</v>
      </c>
      <c r="K53" s="21">
        <f t="array" ref="K53">+MAX(IF($C123:$C143=1,K123:K143))</f>
        <v>49680</v>
      </c>
      <c r="L53" s="22">
        <f t="array" ref="L53">+MAX(IF($C123:$C143=1,L123:L143))</f>
        <v>52860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37360</v>
      </c>
      <c r="F54" s="24">
        <f t="array" ref="F54">+MAX(IF($C145:$C165=1,F145:F165))</f>
        <v>42720</v>
      </c>
      <c r="G54" s="24">
        <f t="array" ref="G54">+MAX(IF($C145:$C165=1,G145:G165))</f>
        <v>48080</v>
      </c>
      <c r="H54" s="24">
        <f t="array" ref="H54">+MAX(IF($C145:$C165=1,H145:H165))</f>
        <v>53360</v>
      </c>
      <c r="I54" s="24">
        <f t="array" ref="I54">+MAX(IF($C145:$C165=1,I145:I165))</f>
        <v>57680</v>
      </c>
      <c r="J54" s="24">
        <f t="array" ref="J54">+MAX(IF($C145:$C165=1,J145:J165))</f>
        <v>61920</v>
      </c>
      <c r="K54" s="24">
        <f t="array" ref="K54">+MAX(IF($C145:$C165=1,K145:K165))</f>
        <v>66240</v>
      </c>
      <c r="L54" s="25">
        <f t="array" ref="L54">+MAX(IF($C145:$C165=1,L145:L165))</f>
        <v>70480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41" t="s">
        <v>1415</v>
      </c>
      <c r="Q56" s="341"/>
      <c r="R56" s="341"/>
      <c r="S56" s="341"/>
      <c r="T56" s="341"/>
      <c r="U56" s="341"/>
      <c r="V56" s="341"/>
      <c r="W56" s="341"/>
      <c r="Y56" s="339" t="s">
        <v>1416</v>
      </c>
      <c r="Z56" s="339"/>
      <c r="AA56" s="339"/>
      <c r="AB56" s="339"/>
      <c r="AC56" s="339"/>
      <c r="AD56" s="339"/>
      <c r="AE56" s="339"/>
      <c r="AF56" s="339"/>
      <c r="AH56" s="103" t="s">
        <v>1418</v>
      </c>
      <c r="AI56" s="335" t="s">
        <v>1417</v>
      </c>
      <c r="AJ56" s="335"/>
      <c r="AK56" s="335"/>
      <c r="AL56" s="335"/>
      <c r="AM56" s="335"/>
      <c r="AN56" s="335"/>
      <c r="AO56" s="335"/>
      <c r="AP56" s="335"/>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12150</v>
      </c>
      <c r="F57" s="112">
        <f t="shared" ref="F57:L64" si="12">+MAX(Q57,Z57,AJ57)</f>
        <v>13890</v>
      </c>
      <c r="G57" s="112">
        <f t="shared" si="12"/>
        <v>15630</v>
      </c>
      <c r="H57" s="112">
        <f t="shared" si="12"/>
        <v>17370</v>
      </c>
      <c r="I57" s="112">
        <f t="shared" si="12"/>
        <v>18750</v>
      </c>
      <c r="J57" s="112">
        <f t="shared" si="12"/>
        <v>20160</v>
      </c>
      <c r="K57" s="112">
        <f t="shared" si="12"/>
        <v>21540</v>
      </c>
      <c r="L57" s="112">
        <f t="shared" si="12"/>
        <v>22920</v>
      </c>
      <c r="N57" s="104" t="str">
        <f>CONCATENATE($AU$10,$B$11,$N$56)</f>
        <v>Before 12-31-2008Grayson30</v>
      </c>
      <c r="P57" s="221">
        <f>VLOOKUP($N57,'pre 12-31-08'!$A$4:$L$1400,E$56+3,FALSE)</f>
        <v>12150</v>
      </c>
      <c r="Q57" s="221">
        <f>VLOOKUP($N57,'pre 12-31-08'!$A$4:$L$1400,F$56+3,FALSE)</f>
        <v>13890</v>
      </c>
      <c r="R57" s="221">
        <f>VLOOKUP($N57,'pre 12-31-08'!$A$4:$L$1400,G$56+3,FALSE)</f>
        <v>15630</v>
      </c>
      <c r="S57" s="221">
        <f>VLOOKUP($N57,'pre 12-31-08'!$A$4:$L$1400,H$56+3,FALSE)</f>
        <v>17370</v>
      </c>
      <c r="T57" s="221">
        <f>VLOOKUP($N57,'pre 12-31-08'!$A$4:$L$1400,I$56+3,FALSE)</f>
        <v>18750</v>
      </c>
      <c r="U57" s="221">
        <f>VLOOKUP($N57,'pre 12-31-08'!$A$4:$L$1400,J$56+3,FALSE)</f>
        <v>20160</v>
      </c>
      <c r="V57" s="221">
        <f>VLOOKUP($N57,'pre 12-31-08'!$A$4:$L$1400,K$56+3,FALSE)</f>
        <v>21540</v>
      </c>
      <c r="W57" s="221">
        <f>VLOOKUP($N57,'pre 12-31-08'!$A$4:$L$1400,L$56+3,FALSE)</f>
        <v>22920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12120</v>
      </c>
      <c r="F58" s="112">
        <f t="shared" si="12"/>
        <v>13830</v>
      </c>
      <c r="G58" s="112">
        <f t="shared" si="12"/>
        <v>15570</v>
      </c>
      <c r="H58" s="112">
        <f t="shared" si="12"/>
        <v>17280</v>
      </c>
      <c r="I58" s="112">
        <f t="shared" si="12"/>
        <v>18690</v>
      </c>
      <c r="J58" s="112">
        <f t="shared" si="12"/>
        <v>20070</v>
      </c>
      <c r="K58" s="112">
        <f t="shared" si="12"/>
        <v>21450</v>
      </c>
      <c r="L58" s="112">
        <f t="shared" si="12"/>
        <v>22830</v>
      </c>
      <c r="N58" s="104" t="str">
        <f>CONCATENATE($AU$11,$B$11,$N$56)</f>
        <v>1/1/2009 - 5/13/2010Grayson30</v>
      </c>
      <c r="P58" s="221">
        <f>VLOOKUP($N58,'1-1-09-5-14-10'!$A$4:$L$1400,E$56+3,FALSE)</f>
        <v>12120</v>
      </c>
      <c r="Q58" s="221">
        <f>VLOOKUP($N58,'1-1-09-5-14-10'!$A$4:$L$1400,F$56+3,FALSE)</f>
        <v>13830</v>
      </c>
      <c r="R58" s="221">
        <f>VLOOKUP($N58,'1-1-09-5-14-10'!$A$4:$L$1400,G$56+3,FALSE)</f>
        <v>15570</v>
      </c>
      <c r="S58" s="221">
        <f>VLOOKUP($N58,'1-1-09-5-14-10'!$A$4:$L$1400,H$56+3,FALSE)</f>
        <v>17280</v>
      </c>
      <c r="T58" s="221">
        <f>VLOOKUP($N58,'1-1-09-5-14-10'!$A$4:$L$1400,I$56+3,FALSE)</f>
        <v>18690</v>
      </c>
      <c r="U58" s="221">
        <f>VLOOKUP($N58,'1-1-09-5-14-10'!$A$4:$L$1400,J$56+3,FALSE)</f>
        <v>20070</v>
      </c>
      <c r="V58" s="221">
        <f>VLOOKUP($N58,'1-1-09-5-14-10'!$A$4:$L$1400,K$56+3,FALSE)</f>
        <v>21450</v>
      </c>
      <c r="W58" s="221">
        <f>VLOOKUP($N58,'1-1-09-5-14-10'!$A$4:$L$1400,L$56+3,FALSE)</f>
        <v>22830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12120</v>
      </c>
      <c r="F59" s="190">
        <f t="shared" si="15"/>
        <v>13830</v>
      </c>
      <c r="G59" s="190">
        <f t="shared" si="15"/>
        <v>15570</v>
      </c>
      <c r="H59" s="190">
        <f t="shared" si="15"/>
        <v>17280</v>
      </c>
      <c r="I59" s="190">
        <f t="shared" si="15"/>
        <v>18690</v>
      </c>
      <c r="J59" s="190">
        <f t="shared" si="15"/>
        <v>20070</v>
      </c>
      <c r="K59" s="190">
        <f t="shared" si="15"/>
        <v>21450</v>
      </c>
      <c r="L59" s="190">
        <f t="shared" si="15"/>
        <v>22830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12120</v>
      </c>
      <c r="F60" s="112">
        <f t="shared" si="12"/>
        <v>13830</v>
      </c>
      <c r="G60" s="112">
        <f t="shared" si="12"/>
        <v>15570</v>
      </c>
      <c r="H60" s="112">
        <f t="shared" si="12"/>
        <v>17280</v>
      </c>
      <c r="I60" s="112">
        <f t="shared" si="12"/>
        <v>18690</v>
      </c>
      <c r="J60" s="112">
        <f t="shared" si="12"/>
        <v>20070</v>
      </c>
      <c r="K60" s="112">
        <f t="shared" si="12"/>
        <v>21450</v>
      </c>
      <c r="L60" s="112">
        <f t="shared" si="12"/>
        <v>22830</v>
      </c>
      <c r="N60" s="104" t="str">
        <f>CONCATENATE($AU$13,$B$11,$N$56)</f>
        <v>6/29/2010 - 5/30/2011Grayson30</v>
      </c>
      <c r="P60" s="221">
        <f>VLOOKUP($N60,'5-14-10-5-31-11'!$A$4:$L$1400,E$56+3,FALSE)</f>
        <v>12120</v>
      </c>
      <c r="Q60" s="221">
        <f>VLOOKUP($N60,'5-14-10-5-31-11'!$A$4:$L$1400,F$56+3,FALSE)</f>
        <v>13830</v>
      </c>
      <c r="R60" s="221">
        <f>VLOOKUP($N60,'5-14-10-5-31-11'!$A$4:$L$1400,G$56+3,FALSE)</f>
        <v>15570</v>
      </c>
      <c r="S60" s="221">
        <f>VLOOKUP($N60,'5-14-10-5-31-11'!$A$4:$L$1400,H$56+3,FALSE)</f>
        <v>17280</v>
      </c>
      <c r="T60" s="221">
        <f>VLOOKUP($N60,'5-14-10-5-31-11'!$A$4:$L$1400,I$56+3,FALSE)</f>
        <v>18690</v>
      </c>
      <c r="U60" s="221">
        <f>VLOOKUP($N60,'5-14-10-5-31-11'!$A$4:$L$1400,J$56+3,FALSE)</f>
        <v>20070</v>
      </c>
      <c r="V60" s="221">
        <f>VLOOKUP($N60,'5-14-10-5-31-11'!$A$4:$L$1400,K$56+3,FALSE)</f>
        <v>21450</v>
      </c>
      <c r="W60" s="221">
        <f>VLOOKUP($N60,'5-14-10-5-31-11'!$A$4:$L$1400,L$56+3,FALSE)</f>
        <v>22830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12390</v>
      </c>
      <c r="F61" s="190">
        <f t="shared" si="17"/>
        <v>14160</v>
      </c>
      <c r="G61" s="190">
        <f t="shared" si="17"/>
        <v>15930</v>
      </c>
      <c r="H61" s="190">
        <f t="shared" si="17"/>
        <v>17700</v>
      </c>
      <c r="I61" s="190">
        <f t="shared" si="17"/>
        <v>19140</v>
      </c>
      <c r="J61" s="190">
        <f t="shared" si="17"/>
        <v>20550</v>
      </c>
      <c r="K61" s="190">
        <f t="shared" si="17"/>
        <v>21960</v>
      </c>
      <c r="L61" s="190">
        <f t="shared" si="17"/>
        <v>23370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12390</v>
      </c>
      <c r="F62" s="112">
        <f t="shared" si="12"/>
        <v>14160</v>
      </c>
      <c r="G62" s="112">
        <f t="shared" si="12"/>
        <v>15930</v>
      </c>
      <c r="H62" s="112">
        <f t="shared" si="12"/>
        <v>17700</v>
      </c>
      <c r="I62" s="112">
        <f t="shared" si="12"/>
        <v>19140</v>
      </c>
      <c r="J62" s="112">
        <f t="shared" si="12"/>
        <v>20550</v>
      </c>
      <c r="K62" s="112">
        <f t="shared" si="12"/>
        <v>21960</v>
      </c>
      <c r="L62" s="112">
        <f t="shared" si="12"/>
        <v>23370</v>
      </c>
      <c r="N62" s="188" t="s">
        <v>2106</v>
      </c>
      <c r="P62" s="221">
        <f>+P106/5*3</f>
        <v>12390</v>
      </c>
      <c r="Q62" s="221">
        <f t="shared" ref="Q62:W62" si="18">+Q106/5*3</f>
        <v>14160</v>
      </c>
      <c r="R62" s="221">
        <f t="shared" si="18"/>
        <v>15930</v>
      </c>
      <c r="S62" s="221">
        <f t="shared" si="18"/>
        <v>17700</v>
      </c>
      <c r="T62" s="221">
        <f t="shared" si="18"/>
        <v>19140</v>
      </c>
      <c r="U62" s="221">
        <f t="shared" si="18"/>
        <v>20550</v>
      </c>
      <c r="V62" s="221">
        <f t="shared" si="18"/>
        <v>21960</v>
      </c>
      <c r="W62" s="221">
        <f t="shared" si="18"/>
        <v>23370</v>
      </c>
      <c r="Y62" s="221">
        <f t="shared" ref="Y62:AF62" si="19">+Y106/5*3</f>
        <v>0</v>
      </c>
      <c r="Z62" s="221">
        <f t="shared" si="19"/>
        <v>0</v>
      </c>
      <c r="AA62" s="221">
        <f t="shared" si="19"/>
        <v>0</v>
      </c>
      <c r="AB62" s="221">
        <f t="shared" si="19"/>
        <v>0</v>
      </c>
      <c r="AC62" s="221">
        <f t="shared" si="19"/>
        <v>0</v>
      </c>
      <c r="AD62" s="221">
        <f t="shared" si="19"/>
        <v>0</v>
      </c>
      <c r="AE62" s="221">
        <f t="shared" si="19"/>
        <v>0</v>
      </c>
      <c r="AF62" s="221">
        <f t="shared" si="19"/>
        <v>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12570</v>
      </c>
      <c r="F63" s="190">
        <f t="shared" ref="F63:L63" si="21">+MAX(F62,F64)</f>
        <v>14370</v>
      </c>
      <c r="G63" s="190">
        <f t="shared" si="21"/>
        <v>16170</v>
      </c>
      <c r="H63" s="190">
        <f t="shared" si="21"/>
        <v>17940</v>
      </c>
      <c r="I63" s="190">
        <f t="shared" si="21"/>
        <v>19380</v>
      </c>
      <c r="J63" s="190">
        <f t="shared" si="21"/>
        <v>20820</v>
      </c>
      <c r="K63" s="190">
        <f t="shared" si="21"/>
        <v>22260</v>
      </c>
      <c r="L63" s="190">
        <f t="shared" si="21"/>
        <v>23700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12570</v>
      </c>
      <c r="F64" s="112">
        <f t="shared" si="12"/>
        <v>14370</v>
      </c>
      <c r="G64" s="112">
        <f t="shared" si="12"/>
        <v>16170</v>
      </c>
      <c r="H64" s="112">
        <f t="shared" si="12"/>
        <v>17940</v>
      </c>
      <c r="I64" s="112">
        <f t="shared" si="12"/>
        <v>19380</v>
      </c>
      <c r="J64" s="112">
        <f t="shared" si="12"/>
        <v>20820</v>
      </c>
      <c r="K64" s="112">
        <f t="shared" si="12"/>
        <v>22260</v>
      </c>
      <c r="L64" s="112">
        <f t="shared" si="12"/>
        <v>23700</v>
      </c>
      <c r="N64" s="188" t="s">
        <v>2108</v>
      </c>
      <c r="P64" s="221">
        <f t="shared" ref="P64:W64" si="22">+P108/5*3</f>
        <v>12570</v>
      </c>
      <c r="Q64" s="221">
        <f t="shared" si="22"/>
        <v>14370</v>
      </c>
      <c r="R64" s="221">
        <f t="shared" si="22"/>
        <v>16170</v>
      </c>
      <c r="S64" s="221">
        <f t="shared" si="22"/>
        <v>17940</v>
      </c>
      <c r="T64" s="221">
        <f t="shared" si="22"/>
        <v>19380</v>
      </c>
      <c r="U64" s="221">
        <f t="shared" si="22"/>
        <v>20820</v>
      </c>
      <c r="V64" s="221">
        <f t="shared" si="22"/>
        <v>22260</v>
      </c>
      <c r="W64" s="221">
        <f t="shared" si="22"/>
        <v>23700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12960</v>
      </c>
      <c r="F65" s="190">
        <f t="shared" si="25"/>
        <v>14820</v>
      </c>
      <c r="G65" s="190">
        <f t="shared" si="25"/>
        <v>16680</v>
      </c>
      <c r="H65" s="190">
        <f t="shared" si="25"/>
        <v>18510</v>
      </c>
      <c r="I65" s="190">
        <f t="shared" si="25"/>
        <v>20010</v>
      </c>
      <c r="J65" s="190">
        <f t="shared" si="25"/>
        <v>21480</v>
      </c>
      <c r="K65" s="190">
        <f t="shared" si="25"/>
        <v>22980</v>
      </c>
      <c r="L65" s="190">
        <f t="shared" si="25"/>
        <v>24450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12960</v>
      </c>
      <c r="F66" s="112">
        <f>+MAX(Q66,Z66,AJ66)</f>
        <v>14820</v>
      </c>
      <c r="G66" s="112">
        <f t="shared" ref="G66:L68" si="26">+MAX(R66,AA66,AK66)</f>
        <v>16680</v>
      </c>
      <c r="H66" s="112">
        <f t="shared" si="26"/>
        <v>18510</v>
      </c>
      <c r="I66" s="112">
        <f t="shared" si="26"/>
        <v>20010</v>
      </c>
      <c r="J66" s="112">
        <f t="shared" si="26"/>
        <v>21480</v>
      </c>
      <c r="K66" s="112">
        <f t="shared" si="26"/>
        <v>22980</v>
      </c>
      <c r="L66" s="112">
        <f t="shared" si="26"/>
        <v>24450</v>
      </c>
      <c r="N66" s="188" t="s">
        <v>2126</v>
      </c>
      <c r="P66" s="221">
        <f t="shared" ref="P66:W66" si="27">+P110/5*3</f>
        <v>12960</v>
      </c>
      <c r="Q66" s="221">
        <f t="shared" si="27"/>
        <v>14820</v>
      </c>
      <c r="R66" s="221">
        <f t="shared" si="27"/>
        <v>16680</v>
      </c>
      <c r="S66" s="221">
        <f t="shared" si="27"/>
        <v>18510</v>
      </c>
      <c r="T66" s="221">
        <f t="shared" si="27"/>
        <v>20010</v>
      </c>
      <c r="U66" s="221">
        <f t="shared" si="27"/>
        <v>21480</v>
      </c>
      <c r="V66" s="221">
        <f t="shared" si="27"/>
        <v>22980</v>
      </c>
      <c r="W66" s="221">
        <f t="shared" si="27"/>
        <v>24450</v>
      </c>
      <c r="Y66" s="221">
        <f t="shared" ref="Y66:AF66" si="28">+Y110/5*3</f>
        <v>0</v>
      </c>
      <c r="Z66" s="221">
        <f t="shared" si="28"/>
        <v>0</v>
      </c>
      <c r="AA66" s="221">
        <f t="shared" si="28"/>
        <v>0</v>
      </c>
      <c r="AB66" s="221">
        <f t="shared" si="28"/>
        <v>0</v>
      </c>
      <c r="AC66" s="221">
        <f t="shared" si="28"/>
        <v>0</v>
      </c>
      <c r="AD66" s="221">
        <f t="shared" si="28"/>
        <v>0</v>
      </c>
      <c r="AE66" s="221">
        <f t="shared" si="28"/>
        <v>0</v>
      </c>
      <c r="AF66" s="221">
        <f t="shared" si="28"/>
        <v>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12960</v>
      </c>
      <c r="F67" s="190">
        <f t="shared" si="31"/>
        <v>14820</v>
      </c>
      <c r="G67" s="190">
        <f t="shared" si="31"/>
        <v>16680</v>
      </c>
      <c r="H67" s="190">
        <f t="shared" si="31"/>
        <v>18510</v>
      </c>
      <c r="I67" s="190">
        <f t="shared" si="31"/>
        <v>20010</v>
      </c>
      <c r="J67" s="190">
        <f t="shared" si="31"/>
        <v>21480</v>
      </c>
      <c r="K67" s="190">
        <f t="shared" si="31"/>
        <v>22980</v>
      </c>
      <c r="L67" s="190">
        <f t="shared" si="31"/>
        <v>24450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12960</v>
      </c>
      <c r="F68" s="112">
        <f>+MAX(Q68,Z68,AJ68)</f>
        <v>14820</v>
      </c>
      <c r="G68" s="112">
        <f t="shared" si="26"/>
        <v>16680</v>
      </c>
      <c r="H68" s="112">
        <f t="shared" si="26"/>
        <v>18510</v>
      </c>
      <c r="I68" s="112">
        <f t="shared" si="26"/>
        <v>20010</v>
      </c>
      <c r="J68" s="112">
        <f t="shared" si="26"/>
        <v>21480</v>
      </c>
      <c r="K68" s="112">
        <f t="shared" si="26"/>
        <v>22980</v>
      </c>
      <c r="L68" s="112">
        <f t="shared" si="26"/>
        <v>24450</v>
      </c>
      <c r="N68" s="108" t="s">
        <v>2190</v>
      </c>
      <c r="P68" s="221">
        <f>+P112/5*3</f>
        <v>12330</v>
      </c>
      <c r="Q68" s="221">
        <f t="shared" ref="Q68:W68" si="32">+Q112/5*3</f>
        <v>14100</v>
      </c>
      <c r="R68" s="221">
        <f t="shared" si="32"/>
        <v>15870</v>
      </c>
      <c r="S68" s="221">
        <f t="shared" si="32"/>
        <v>17610</v>
      </c>
      <c r="T68" s="221">
        <f t="shared" si="32"/>
        <v>19020</v>
      </c>
      <c r="U68" s="221">
        <f t="shared" si="32"/>
        <v>20430</v>
      </c>
      <c r="V68" s="221">
        <f t="shared" si="32"/>
        <v>21840</v>
      </c>
      <c r="W68" s="221">
        <f t="shared" si="32"/>
        <v>23250</v>
      </c>
      <c r="Y68" s="221">
        <f t="shared" ref="Y68:AF70" si="33">+Y112/5*3</f>
        <v>12960</v>
      </c>
      <c r="Z68" s="221">
        <f t="shared" si="33"/>
        <v>14820</v>
      </c>
      <c r="AA68" s="221">
        <f t="shared" si="33"/>
        <v>16680</v>
      </c>
      <c r="AB68" s="221">
        <f t="shared" si="33"/>
        <v>18510</v>
      </c>
      <c r="AC68" s="221">
        <f t="shared" si="33"/>
        <v>20010</v>
      </c>
      <c r="AD68" s="221">
        <f t="shared" si="33"/>
        <v>21480</v>
      </c>
      <c r="AE68" s="221">
        <f t="shared" si="33"/>
        <v>22980</v>
      </c>
      <c r="AF68" s="221">
        <f t="shared" si="33"/>
        <v>24450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13170</v>
      </c>
      <c r="F69" s="224">
        <f t="shared" ref="F69:L69" si="36">+MAX(F68,F70)</f>
        <v>15030</v>
      </c>
      <c r="G69" s="224">
        <f t="shared" si="36"/>
        <v>16920</v>
      </c>
      <c r="H69" s="224">
        <f t="shared" si="36"/>
        <v>18780</v>
      </c>
      <c r="I69" s="224">
        <f t="shared" si="36"/>
        <v>20310</v>
      </c>
      <c r="J69" s="224">
        <f t="shared" si="36"/>
        <v>21810</v>
      </c>
      <c r="K69" s="224">
        <f t="shared" si="36"/>
        <v>23310</v>
      </c>
      <c r="L69" s="224">
        <f t="shared" si="36"/>
        <v>24810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13170</v>
      </c>
      <c r="F70" s="239">
        <f>+MAX(Q70,Z70,AJ70)</f>
        <v>15030</v>
      </c>
      <c r="G70" s="239">
        <f t="shared" ref="G70:L70" si="37">+MAX(R70,AA70,AK70)</f>
        <v>16920</v>
      </c>
      <c r="H70" s="239">
        <f t="shared" si="37"/>
        <v>18780</v>
      </c>
      <c r="I70" s="239">
        <f t="shared" si="37"/>
        <v>20310</v>
      </c>
      <c r="J70" s="239">
        <f t="shared" si="37"/>
        <v>21810</v>
      </c>
      <c r="K70" s="239">
        <f t="shared" si="37"/>
        <v>23310</v>
      </c>
      <c r="L70" s="239">
        <f t="shared" si="37"/>
        <v>24810</v>
      </c>
      <c r="N70" s="108" t="s">
        <v>2229</v>
      </c>
      <c r="P70" s="221">
        <f>+P114/5*3</f>
        <v>13050</v>
      </c>
      <c r="Q70" s="221">
        <f t="shared" ref="Q70:W70" si="38">+Q114/5*3</f>
        <v>14910</v>
      </c>
      <c r="R70" s="221">
        <f t="shared" si="38"/>
        <v>16770</v>
      </c>
      <c r="S70" s="221">
        <f t="shared" si="38"/>
        <v>18630</v>
      </c>
      <c r="T70" s="221">
        <f t="shared" si="38"/>
        <v>20130</v>
      </c>
      <c r="U70" s="221">
        <f t="shared" si="38"/>
        <v>21630</v>
      </c>
      <c r="V70" s="221">
        <f t="shared" si="38"/>
        <v>23130</v>
      </c>
      <c r="W70" s="221">
        <f t="shared" si="38"/>
        <v>24600</v>
      </c>
      <c r="Y70" s="221">
        <f t="shared" si="33"/>
        <v>13170</v>
      </c>
      <c r="Z70" s="221">
        <f t="shared" si="33"/>
        <v>15030</v>
      </c>
      <c r="AA70" s="221">
        <f t="shared" si="33"/>
        <v>16920</v>
      </c>
      <c r="AB70" s="221">
        <f t="shared" si="33"/>
        <v>18780</v>
      </c>
      <c r="AC70" s="221">
        <f t="shared" si="33"/>
        <v>20310</v>
      </c>
      <c r="AD70" s="221">
        <f t="shared" si="33"/>
        <v>21810</v>
      </c>
      <c r="AE70" s="221">
        <f t="shared" si="33"/>
        <v>23310</v>
      </c>
      <c r="AF70" s="221">
        <f t="shared" si="33"/>
        <v>24810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13170</v>
      </c>
      <c r="F71" s="224">
        <f t="shared" ref="F71:L71" si="39">+MAX(F70,F72)</f>
        <v>15030</v>
      </c>
      <c r="G71" s="224">
        <f t="shared" si="39"/>
        <v>16920</v>
      </c>
      <c r="H71" s="224">
        <f t="shared" si="39"/>
        <v>18780</v>
      </c>
      <c r="I71" s="224">
        <f t="shared" si="39"/>
        <v>20310</v>
      </c>
      <c r="J71" s="224">
        <f t="shared" si="39"/>
        <v>21810</v>
      </c>
      <c r="K71" s="224">
        <f t="shared" si="39"/>
        <v>23310</v>
      </c>
      <c r="L71" s="224">
        <f t="shared" si="39"/>
        <v>24810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13170</v>
      </c>
      <c r="F72" s="239">
        <f t="shared" si="40"/>
        <v>15030</v>
      </c>
      <c r="G72" s="239">
        <f t="shared" si="40"/>
        <v>16920</v>
      </c>
      <c r="H72" s="239">
        <f t="shared" si="40"/>
        <v>18780</v>
      </c>
      <c r="I72" s="239">
        <f t="shared" si="40"/>
        <v>20310</v>
      </c>
      <c r="J72" s="239">
        <f t="shared" si="40"/>
        <v>21810</v>
      </c>
      <c r="K72" s="239">
        <f t="shared" si="40"/>
        <v>23310</v>
      </c>
      <c r="L72" s="239">
        <f t="shared" si="40"/>
        <v>24810</v>
      </c>
      <c r="N72" s="108" t="str">
        <f>AU25</f>
        <v>5/13/2016 - 4/13/2017</v>
      </c>
      <c r="P72" s="221">
        <f>+P116*0.6</f>
        <v>12390</v>
      </c>
      <c r="Q72" s="221">
        <f t="shared" ref="Q72:W72" si="41">+Q116*0.6</f>
        <v>14160</v>
      </c>
      <c r="R72" s="221">
        <f t="shared" si="41"/>
        <v>15930</v>
      </c>
      <c r="S72" s="221">
        <f t="shared" si="41"/>
        <v>17700</v>
      </c>
      <c r="T72" s="221">
        <f t="shared" si="41"/>
        <v>19140</v>
      </c>
      <c r="U72" s="221">
        <f t="shared" si="41"/>
        <v>20550</v>
      </c>
      <c r="V72" s="221">
        <f t="shared" si="41"/>
        <v>21960</v>
      </c>
      <c r="W72" s="221">
        <f t="shared" si="41"/>
        <v>23370</v>
      </c>
      <c r="Y72" s="221">
        <f>+Y116*0.6</f>
        <v>13170</v>
      </c>
      <c r="Z72" s="221">
        <f t="shared" ref="Z72:AF72" si="42">+Z116*0.6</f>
        <v>15030</v>
      </c>
      <c r="AA72" s="221">
        <f t="shared" si="42"/>
        <v>16920</v>
      </c>
      <c r="AB72" s="221">
        <f t="shared" si="42"/>
        <v>18780</v>
      </c>
      <c r="AC72" s="221">
        <f t="shared" si="42"/>
        <v>20310</v>
      </c>
      <c r="AD72" s="221">
        <f t="shared" si="42"/>
        <v>21810</v>
      </c>
      <c r="AE72" s="221">
        <f t="shared" si="42"/>
        <v>23310</v>
      </c>
      <c r="AF72" s="221">
        <f t="shared" si="42"/>
        <v>24810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14010</v>
      </c>
      <c r="F73" s="224">
        <f t="shared" si="44"/>
        <v>16020</v>
      </c>
      <c r="G73" s="224">
        <f t="shared" si="44"/>
        <v>18030</v>
      </c>
      <c r="H73" s="224">
        <f t="shared" si="44"/>
        <v>20010</v>
      </c>
      <c r="I73" s="224">
        <f t="shared" si="44"/>
        <v>21630</v>
      </c>
      <c r="J73" s="224">
        <f t="shared" si="44"/>
        <v>23220</v>
      </c>
      <c r="K73" s="224">
        <f t="shared" si="44"/>
        <v>24840</v>
      </c>
      <c r="L73" s="224">
        <f t="shared" si="44"/>
        <v>26430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14010</v>
      </c>
      <c r="F74" s="187">
        <f t="shared" ref="F74:L74" si="45">+MAX(Q74,Z74,AJ74)</f>
        <v>16020</v>
      </c>
      <c r="G74" s="187">
        <f t="shared" si="45"/>
        <v>18030</v>
      </c>
      <c r="H74" s="187">
        <f t="shared" si="45"/>
        <v>20010</v>
      </c>
      <c r="I74" s="187">
        <f t="shared" si="45"/>
        <v>21630</v>
      </c>
      <c r="J74" s="187">
        <f t="shared" si="45"/>
        <v>23220</v>
      </c>
      <c r="K74" s="187">
        <f t="shared" si="45"/>
        <v>24840</v>
      </c>
      <c r="L74" s="187">
        <f t="shared" si="45"/>
        <v>26430</v>
      </c>
      <c r="M74" s="241"/>
      <c r="N74" s="108" t="str">
        <f>AU27</f>
        <v>5/30/2017 - 3/31/2018</v>
      </c>
      <c r="O74" s="241"/>
      <c r="P74" s="226">
        <f>+P118*0.6</f>
        <v>13260</v>
      </c>
      <c r="Q74" s="226">
        <f t="shared" ref="Q74:W74" si="46">+Q118*0.6</f>
        <v>15150</v>
      </c>
      <c r="R74" s="226">
        <f t="shared" si="46"/>
        <v>17040</v>
      </c>
      <c r="S74" s="226">
        <f t="shared" si="46"/>
        <v>18930</v>
      </c>
      <c r="T74" s="226">
        <f t="shared" si="46"/>
        <v>20460</v>
      </c>
      <c r="U74" s="226">
        <f t="shared" si="46"/>
        <v>21960</v>
      </c>
      <c r="V74" s="226">
        <f t="shared" si="46"/>
        <v>23490</v>
      </c>
      <c r="W74" s="226">
        <f t="shared" si="46"/>
        <v>24990</v>
      </c>
      <c r="X74" s="241"/>
      <c r="Y74" s="226">
        <f>+Y118*0.6</f>
        <v>14010</v>
      </c>
      <c r="Z74" s="226">
        <f t="shared" ref="Z74:AF76" si="47">+Z118*0.6</f>
        <v>16020</v>
      </c>
      <c r="AA74" s="226">
        <f t="shared" si="47"/>
        <v>18030</v>
      </c>
      <c r="AB74" s="226">
        <f t="shared" si="47"/>
        <v>20010</v>
      </c>
      <c r="AC74" s="226">
        <f t="shared" si="47"/>
        <v>21630</v>
      </c>
      <c r="AD74" s="226">
        <f t="shared" si="47"/>
        <v>23220</v>
      </c>
      <c r="AE74" s="226">
        <f t="shared" si="47"/>
        <v>24840</v>
      </c>
      <c r="AF74" s="226">
        <f t="shared" si="47"/>
        <v>26430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14010</v>
      </c>
      <c r="F75" s="224">
        <f t="shared" si="44"/>
        <v>16020</v>
      </c>
      <c r="G75" s="224">
        <f t="shared" si="44"/>
        <v>18030</v>
      </c>
      <c r="H75" s="224">
        <f t="shared" si="44"/>
        <v>20010</v>
      </c>
      <c r="I75" s="224">
        <f t="shared" si="44"/>
        <v>21630</v>
      </c>
      <c r="J75" s="224">
        <f t="shared" si="44"/>
        <v>23220</v>
      </c>
      <c r="K75" s="224">
        <f t="shared" si="44"/>
        <v>24840</v>
      </c>
      <c r="L75" s="224">
        <f t="shared" si="44"/>
        <v>26430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14010</v>
      </c>
      <c r="F76" s="187">
        <f t="shared" ref="F76" si="51">+MAX(Q76,Z76,AJ76)</f>
        <v>16020</v>
      </c>
      <c r="G76" s="187">
        <f t="shared" ref="G76" si="52">+MAX(R76,AA76,AK76)</f>
        <v>18030</v>
      </c>
      <c r="H76" s="187">
        <f t="shared" ref="H76" si="53">+MAX(S76,AB76,AL76)</f>
        <v>20010</v>
      </c>
      <c r="I76" s="187">
        <f t="shared" ref="I76" si="54">+MAX(T76,AC76,AM76)</f>
        <v>21630</v>
      </c>
      <c r="J76" s="187">
        <f t="shared" ref="J76" si="55">+MAX(U76,AD76,AN76)</f>
        <v>23220</v>
      </c>
      <c r="K76" s="187">
        <f t="shared" ref="K76" si="56">+MAX(V76,AE76,AO76)</f>
        <v>24840</v>
      </c>
      <c r="L76" s="187">
        <f t="shared" ref="L76" si="57">+MAX(W76,AF76,AP76)</f>
        <v>26430</v>
      </c>
      <c r="M76" s="241"/>
      <c r="N76" s="315" t="str">
        <f>AU29</f>
        <v>On or After 5/17/2018</v>
      </c>
      <c r="O76" s="241"/>
      <c r="P76" s="226">
        <f>P120*0.6</f>
        <v>13710</v>
      </c>
      <c r="Q76" s="226">
        <f t="shared" ref="Q76:W76" si="58">Q120*0.6</f>
        <v>15660</v>
      </c>
      <c r="R76" s="226">
        <f t="shared" si="58"/>
        <v>17610</v>
      </c>
      <c r="S76" s="226">
        <f t="shared" si="58"/>
        <v>19560</v>
      </c>
      <c r="T76" s="226">
        <f t="shared" si="58"/>
        <v>21150</v>
      </c>
      <c r="U76" s="226">
        <f t="shared" si="58"/>
        <v>22710</v>
      </c>
      <c r="V76" s="226">
        <f t="shared" si="58"/>
        <v>24270</v>
      </c>
      <c r="W76" s="226">
        <f t="shared" si="58"/>
        <v>25830</v>
      </c>
      <c r="X76" s="241"/>
      <c r="Y76" s="226">
        <f>+Y120*0.6</f>
        <v>14010</v>
      </c>
      <c r="Z76" s="226">
        <f t="shared" si="47"/>
        <v>16020</v>
      </c>
      <c r="AA76" s="226">
        <f t="shared" si="47"/>
        <v>18030</v>
      </c>
      <c r="AB76" s="226">
        <f t="shared" si="47"/>
        <v>20010</v>
      </c>
      <c r="AC76" s="226">
        <f t="shared" si="47"/>
        <v>21630</v>
      </c>
      <c r="AD76" s="226">
        <f t="shared" si="47"/>
        <v>23220</v>
      </c>
      <c r="AE76" s="226">
        <f t="shared" si="47"/>
        <v>24840</v>
      </c>
      <c r="AF76" s="226">
        <f t="shared" si="47"/>
        <v>26430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41" t="s">
        <v>1415</v>
      </c>
      <c r="Q78" s="341"/>
      <c r="R78" s="341"/>
      <c r="S78" s="341"/>
      <c r="T78" s="341"/>
      <c r="U78" s="341"/>
      <c r="V78" s="341"/>
      <c r="W78" s="341"/>
      <c r="Y78" s="339" t="s">
        <v>1416</v>
      </c>
      <c r="Z78" s="339"/>
      <c r="AA78" s="339"/>
      <c r="AB78" s="339"/>
      <c r="AC78" s="339"/>
      <c r="AD78" s="339"/>
      <c r="AE78" s="339"/>
      <c r="AF78" s="339"/>
      <c r="AI78" s="335" t="s">
        <v>1417</v>
      </c>
      <c r="AJ78" s="335"/>
      <c r="AK78" s="335"/>
      <c r="AL78" s="335"/>
      <c r="AM78" s="335"/>
      <c r="AN78" s="335"/>
      <c r="AO78" s="335"/>
      <c r="AP78" s="335"/>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16200</v>
      </c>
      <c r="F79" s="112">
        <f t="shared" si="62"/>
        <v>18520</v>
      </c>
      <c r="G79" s="112">
        <f t="shared" si="62"/>
        <v>20840</v>
      </c>
      <c r="H79" s="112">
        <f t="shared" si="62"/>
        <v>23160</v>
      </c>
      <c r="I79" s="112">
        <f t="shared" si="62"/>
        <v>25000</v>
      </c>
      <c r="J79" s="112">
        <f t="shared" si="62"/>
        <v>26880</v>
      </c>
      <c r="K79" s="112">
        <f t="shared" si="62"/>
        <v>28720</v>
      </c>
      <c r="L79" s="112">
        <f t="shared" si="62"/>
        <v>30560</v>
      </c>
      <c r="N79" s="104" t="str">
        <f>CONCATENATE($AU$10,$B$11,N78)</f>
        <v>Before 12-31-2008Grayson40</v>
      </c>
      <c r="P79" s="221">
        <f>VLOOKUP($N79,'pre 12-31-08'!$A$4:$L$1400,E$78+3,FALSE)</f>
        <v>16200</v>
      </c>
      <c r="Q79" s="221">
        <f>VLOOKUP($N79,'pre 12-31-08'!$A$4:$L$1400,F$78+3,FALSE)</f>
        <v>18520</v>
      </c>
      <c r="R79" s="221">
        <f>VLOOKUP($N79,'pre 12-31-08'!$A$4:$L$1400,G$78+3,FALSE)</f>
        <v>20840</v>
      </c>
      <c r="S79" s="221">
        <f>VLOOKUP($N79,'pre 12-31-08'!$A$4:$L$1400,H$78+3,FALSE)</f>
        <v>23160</v>
      </c>
      <c r="T79" s="221">
        <f>VLOOKUP($N79,'pre 12-31-08'!$A$4:$L$1400,I$78+3,FALSE)</f>
        <v>25000</v>
      </c>
      <c r="U79" s="221">
        <f>VLOOKUP($N79,'pre 12-31-08'!$A$4:$L$1400,J$78+3,FALSE)</f>
        <v>26880</v>
      </c>
      <c r="V79" s="221">
        <f>VLOOKUP($N79,'pre 12-31-08'!$A$4:$L$1400,K$78+3,FALSE)</f>
        <v>28720</v>
      </c>
      <c r="W79" s="221">
        <f>VLOOKUP($N79,'pre 12-31-08'!$A$4:$L$1400,L$78+3,FALSE)</f>
        <v>30560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16160</v>
      </c>
      <c r="F80" s="112">
        <f t="shared" si="62"/>
        <v>18440</v>
      </c>
      <c r="G80" s="112">
        <f t="shared" si="62"/>
        <v>20760</v>
      </c>
      <c r="H80" s="112">
        <f t="shared" si="62"/>
        <v>23040</v>
      </c>
      <c r="I80" s="112">
        <f t="shared" si="62"/>
        <v>24920</v>
      </c>
      <c r="J80" s="112">
        <f t="shared" si="62"/>
        <v>26760</v>
      </c>
      <c r="K80" s="112">
        <f t="shared" si="62"/>
        <v>28600</v>
      </c>
      <c r="L80" s="112">
        <f t="shared" si="62"/>
        <v>30440</v>
      </c>
      <c r="N80" s="104" t="str">
        <f>CONCATENATE($AU$11,$B$11,$N$78)</f>
        <v>1/1/2009 - 5/13/2010Grayson40</v>
      </c>
      <c r="P80" s="221">
        <f>VLOOKUP($N80,'1-1-09-5-14-10'!$A$4:$L$1400,E$78+3,FALSE)</f>
        <v>16160</v>
      </c>
      <c r="Q80" s="221">
        <f>VLOOKUP($N80,'1-1-09-5-14-10'!$A$4:$L$1400,F$78+3,FALSE)</f>
        <v>18440</v>
      </c>
      <c r="R80" s="221">
        <f>VLOOKUP($N80,'1-1-09-5-14-10'!$A$4:$L$1400,G$78+3,FALSE)</f>
        <v>20760</v>
      </c>
      <c r="S80" s="221">
        <f>VLOOKUP($N80,'1-1-09-5-14-10'!$A$4:$L$1400,H$78+3,FALSE)</f>
        <v>23040</v>
      </c>
      <c r="T80" s="221">
        <f>VLOOKUP($N80,'1-1-09-5-14-10'!$A$4:$L$1400,I$78+3,FALSE)</f>
        <v>24920</v>
      </c>
      <c r="U80" s="221">
        <f>VLOOKUP($N80,'1-1-09-5-14-10'!$A$4:$L$1400,J$78+3,FALSE)</f>
        <v>26760</v>
      </c>
      <c r="V80" s="221">
        <f>VLOOKUP($N80,'1-1-09-5-14-10'!$A$4:$L$1400,K$78+3,FALSE)</f>
        <v>28600</v>
      </c>
      <c r="W80" s="221">
        <f>VLOOKUP($N80,'1-1-09-5-14-10'!$A$4:$L$1400,L$78+3,FALSE)</f>
        <v>30440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16160</v>
      </c>
      <c r="F81" s="190">
        <f t="shared" si="65"/>
        <v>18440</v>
      </c>
      <c r="G81" s="190">
        <f t="shared" si="65"/>
        <v>20760</v>
      </c>
      <c r="H81" s="190">
        <f t="shared" si="65"/>
        <v>23040</v>
      </c>
      <c r="I81" s="190">
        <f t="shared" si="65"/>
        <v>24920</v>
      </c>
      <c r="J81" s="190">
        <f t="shared" si="65"/>
        <v>26760</v>
      </c>
      <c r="K81" s="190">
        <f t="shared" si="65"/>
        <v>28600</v>
      </c>
      <c r="L81" s="190">
        <f t="shared" si="65"/>
        <v>30440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16160</v>
      </c>
      <c r="F82" s="112">
        <f t="shared" si="62"/>
        <v>18440</v>
      </c>
      <c r="G82" s="112">
        <f t="shared" si="62"/>
        <v>20760</v>
      </c>
      <c r="H82" s="112">
        <f t="shared" si="62"/>
        <v>23040</v>
      </c>
      <c r="I82" s="112">
        <f t="shared" si="62"/>
        <v>24920</v>
      </c>
      <c r="J82" s="112">
        <f t="shared" si="62"/>
        <v>26760</v>
      </c>
      <c r="K82" s="112">
        <f t="shared" si="62"/>
        <v>28600</v>
      </c>
      <c r="L82" s="112">
        <f t="shared" si="62"/>
        <v>30440</v>
      </c>
      <c r="N82" s="104" t="str">
        <f>CONCATENATE($AU$13,$B$11,$N$78)</f>
        <v>6/29/2010 - 5/30/2011Grayson40</v>
      </c>
      <c r="P82" s="221">
        <f>VLOOKUP($N82,'5-14-10-5-31-11'!$A$4:$L$1400,E$78+3,FALSE)</f>
        <v>16160</v>
      </c>
      <c r="Q82" s="221">
        <f>VLOOKUP($N82,'5-14-10-5-31-11'!$A$4:$L$1400,F$78+3,FALSE)</f>
        <v>18440</v>
      </c>
      <c r="R82" s="221">
        <f>VLOOKUP($N82,'5-14-10-5-31-11'!$A$4:$L$1400,G$78+3,FALSE)</f>
        <v>20760</v>
      </c>
      <c r="S82" s="221">
        <f>VLOOKUP($N82,'5-14-10-5-31-11'!$A$4:$L$1400,H$78+3,FALSE)</f>
        <v>23040</v>
      </c>
      <c r="T82" s="221">
        <f>VLOOKUP($N82,'5-14-10-5-31-11'!$A$4:$L$1400,I$78+3,FALSE)</f>
        <v>24920</v>
      </c>
      <c r="U82" s="221">
        <f>VLOOKUP($N82,'5-14-10-5-31-11'!$A$4:$L$1400,J$78+3,FALSE)</f>
        <v>26760</v>
      </c>
      <c r="V82" s="221">
        <f>VLOOKUP($N82,'5-14-10-5-31-11'!$A$4:$L$1400,K$78+3,FALSE)</f>
        <v>28600</v>
      </c>
      <c r="W82" s="221">
        <f>VLOOKUP($N82,'5-14-10-5-31-11'!$A$4:$L$1400,L$78+3,FALSE)</f>
        <v>30440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16520</v>
      </c>
      <c r="F83" s="190">
        <f t="shared" si="67"/>
        <v>18880</v>
      </c>
      <c r="G83" s="190">
        <f t="shared" si="67"/>
        <v>21240</v>
      </c>
      <c r="H83" s="190">
        <f t="shared" si="67"/>
        <v>23600</v>
      </c>
      <c r="I83" s="190">
        <f t="shared" si="67"/>
        <v>25520</v>
      </c>
      <c r="J83" s="190">
        <f t="shared" si="67"/>
        <v>27400</v>
      </c>
      <c r="K83" s="190">
        <f t="shared" si="67"/>
        <v>29280</v>
      </c>
      <c r="L83" s="190">
        <f t="shared" si="67"/>
        <v>31160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16520</v>
      </c>
      <c r="F84" s="112">
        <f t="shared" si="62"/>
        <v>18880</v>
      </c>
      <c r="G84" s="112">
        <f t="shared" si="62"/>
        <v>21240</v>
      </c>
      <c r="H84" s="112">
        <f t="shared" si="62"/>
        <v>23600</v>
      </c>
      <c r="I84" s="112">
        <f t="shared" si="62"/>
        <v>25520</v>
      </c>
      <c r="J84" s="112">
        <f t="shared" si="62"/>
        <v>27400</v>
      </c>
      <c r="K84" s="112">
        <f t="shared" si="62"/>
        <v>29280</v>
      </c>
      <c r="L84" s="112">
        <f t="shared" si="62"/>
        <v>31160</v>
      </c>
      <c r="N84" s="188" t="s">
        <v>2106</v>
      </c>
      <c r="P84" s="221">
        <f>+P106/5*4</f>
        <v>16520</v>
      </c>
      <c r="Q84" s="221">
        <f t="shared" ref="Q84:W84" si="68">+Q106/5*4</f>
        <v>18880</v>
      </c>
      <c r="R84" s="221">
        <f t="shared" si="68"/>
        <v>21240</v>
      </c>
      <c r="S84" s="221">
        <f t="shared" si="68"/>
        <v>23600</v>
      </c>
      <c r="T84" s="221">
        <f t="shared" si="68"/>
        <v>25520</v>
      </c>
      <c r="U84" s="221">
        <f t="shared" si="68"/>
        <v>27400</v>
      </c>
      <c r="V84" s="221">
        <f t="shared" si="68"/>
        <v>29280</v>
      </c>
      <c r="W84" s="221">
        <f t="shared" si="68"/>
        <v>31160</v>
      </c>
      <c r="Y84" s="221">
        <f t="shared" ref="Y84:AF84" si="69">+Y106/5*4</f>
        <v>0</v>
      </c>
      <c r="Z84" s="221">
        <f t="shared" si="69"/>
        <v>0</v>
      </c>
      <c r="AA84" s="221">
        <f t="shared" si="69"/>
        <v>0</v>
      </c>
      <c r="AB84" s="221">
        <f t="shared" si="69"/>
        <v>0</v>
      </c>
      <c r="AC84" s="221">
        <f t="shared" si="69"/>
        <v>0</v>
      </c>
      <c r="AD84" s="221">
        <f t="shared" si="69"/>
        <v>0</v>
      </c>
      <c r="AE84" s="221">
        <f t="shared" si="69"/>
        <v>0</v>
      </c>
      <c r="AF84" s="221">
        <f t="shared" si="69"/>
        <v>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16760</v>
      </c>
      <c r="F85" s="190">
        <f t="shared" si="71"/>
        <v>19160</v>
      </c>
      <c r="G85" s="190">
        <f t="shared" si="71"/>
        <v>21560</v>
      </c>
      <c r="H85" s="190">
        <f t="shared" si="71"/>
        <v>23920</v>
      </c>
      <c r="I85" s="190">
        <f t="shared" si="71"/>
        <v>25840</v>
      </c>
      <c r="J85" s="190">
        <f t="shared" si="71"/>
        <v>27760</v>
      </c>
      <c r="K85" s="190">
        <f t="shared" si="71"/>
        <v>29680</v>
      </c>
      <c r="L85" s="190">
        <f t="shared" si="71"/>
        <v>31600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16760</v>
      </c>
      <c r="F86" s="112">
        <f t="shared" si="62"/>
        <v>19160</v>
      </c>
      <c r="G86" s="112">
        <f t="shared" si="62"/>
        <v>21560</v>
      </c>
      <c r="H86" s="112">
        <f t="shared" si="62"/>
        <v>23920</v>
      </c>
      <c r="I86" s="112">
        <f t="shared" si="62"/>
        <v>25840</v>
      </c>
      <c r="J86" s="112">
        <f t="shared" si="62"/>
        <v>27760</v>
      </c>
      <c r="K86" s="112">
        <f t="shared" si="62"/>
        <v>29680</v>
      </c>
      <c r="L86" s="112">
        <f t="shared" si="62"/>
        <v>31600</v>
      </c>
      <c r="N86" s="188" t="s">
        <v>2108</v>
      </c>
      <c r="P86" s="221">
        <f t="shared" ref="P86:W86" si="72">+P108/5*4</f>
        <v>16760</v>
      </c>
      <c r="Q86" s="221">
        <f t="shared" si="72"/>
        <v>19160</v>
      </c>
      <c r="R86" s="221">
        <f t="shared" si="72"/>
        <v>21560</v>
      </c>
      <c r="S86" s="221">
        <f t="shared" si="72"/>
        <v>23920</v>
      </c>
      <c r="T86" s="221">
        <f t="shared" si="72"/>
        <v>25840</v>
      </c>
      <c r="U86" s="221">
        <f t="shared" si="72"/>
        <v>27760</v>
      </c>
      <c r="V86" s="221">
        <f t="shared" si="72"/>
        <v>29680</v>
      </c>
      <c r="W86" s="221">
        <f t="shared" si="72"/>
        <v>31600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17280</v>
      </c>
      <c r="F87" s="190">
        <f t="shared" si="75"/>
        <v>19760</v>
      </c>
      <c r="G87" s="190">
        <f t="shared" si="75"/>
        <v>22240</v>
      </c>
      <c r="H87" s="190">
        <f t="shared" si="75"/>
        <v>24680</v>
      </c>
      <c r="I87" s="190">
        <f t="shared" si="75"/>
        <v>26680</v>
      </c>
      <c r="J87" s="190">
        <f t="shared" si="75"/>
        <v>28640</v>
      </c>
      <c r="K87" s="190">
        <f t="shared" si="75"/>
        <v>30640</v>
      </c>
      <c r="L87" s="190">
        <f t="shared" si="75"/>
        <v>32600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17280</v>
      </c>
      <c r="F88" s="112">
        <f t="shared" si="62"/>
        <v>19760</v>
      </c>
      <c r="G88" s="112">
        <f t="shared" si="62"/>
        <v>22240</v>
      </c>
      <c r="H88" s="112">
        <f t="shared" si="62"/>
        <v>24680</v>
      </c>
      <c r="I88" s="112">
        <f t="shared" si="62"/>
        <v>26680</v>
      </c>
      <c r="J88" s="112">
        <f t="shared" si="62"/>
        <v>28640</v>
      </c>
      <c r="K88" s="112">
        <f t="shared" si="62"/>
        <v>30640</v>
      </c>
      <c r="L88" s="112">
        <f t="shared" si="62"/>
        <v>32600</v>
      </c>
      <c r="N88" s="188" t="s">
        <v>2126</v>
      </c>
      <c r="P88" s="221">
        <f t="shared" ref="P88:W88" si="76">+P110/5*4</f>
        <v>17280</v>
      </c>
      <c r="Q88" s="221">
        <f t="shared" si="76"/>
        <v>19760</v>
      </c>
      <c r="R88" s="221">
        <f t="shared" si="76"/>
        <v>22240</v>
      </c>
      <c r="S88" s="221">
        <f t="shared" si="76"/>
        <v>24680</v>
      </c>
      <c r="T88" s="221">
        <f t="shared" si="76"/>
        <v>26680</v>
      </c>
      <c r="U88" s="221">
        <f t="shared" si="76"/>
        <v>28640</v>
      </c>
      <c r="V88" s="221">
        <f t="shared" si="76"/>
        <v>30640</v>
      </c>
      <c r="W88" s="221">
        <f t="shared" si="76"/>
        <v>32600</v>
      </c>
      <c r="Y88" s="221">
        <f t="shared" ref="Y88:AF88" si="77">+Y110/5*4</f>
        <v>0</v>
      </c>
      <c r="Z88" s="221">
        <f t="shared" si="77"/>
        <v>0</v>
      </c>
      <c r="AA88" s="221">
        <f t="shared" si="77"/>
        <v>0</v>
      </c>
      <c r="AB88" s="221">
        <f t="shared" si="77"/>
        <v>0</v>
      </c>
      <c r="AC88" s="221">
        <f t="shared" si="77"/>
        <v>0</v>
      </c>
      <c r="AD88" s="221">
        <f t="shared" si="77"/>
        <v>0</v>
      </c>
      <c r="AE88" s="221">
        <f t="shared" si="77"/>
        <v>0</v>
      </c>
      <c r="AF88" s="221">
        <f t="shared" si="77"/>
        <v>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17280</v>
      </c>
      <c r="F89" s="190">
        <f t="shared" si="80"/>
        <v>19760</v>
      </c>
      <c r="G89" s="190">
        <f t="shared" si="80"/>
        <v>22240</v>
      </c>
      <c r="H89" s="190">
        <f t="shared" si="80"/>
        <v>24680</v>
      </c>
      <c r="I89" s="190">
        <f t="shared" si="80"/>
        <v>26680</v>
      </c>
      <c r="J89" s="190">
        <f t="shared" si="80"/>
        <v>28640</v>
      </c>
      <c r="K89" s="190">
        <f t="shared" si="80"/>
        <v>30640</v>
      </c>
      <c r="L89" s="190">
        <f t="shared" si="80"/>
        <v>32600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17280</v>
      </c>
      <c r="F90" s="112">
        <f t="shared" si="82"/>
        <v>19760</v>
      </c>
      <c r="G90" s="112">
        <f t="shared" si="82"/>
        <v>22240</v>
      </c>
      <c r="H90" s="112">
        <f t="shared" si="82"/>
        <v>24680</v>
      </c>
      <c r="I90" s="112">
        <f t="shared" si="82"/>
        <v>26680</v>
      </c>
      <c r="J90" s="112">
        <f t="shared" si="82"/>
        <v>28640</v>
      </c>
      <c r="K90" s="112">
        <f t="shared" si="82"/>
        <v>30640</v>
      </c>
      <c r="L90" s="112">
        <f t="shared" si="82"/>
        <v>32600</v>
      </c>
      <c r="N90" s="108" t="s">
        <v>2190</v>
      </c>
      <c r="P90" s="221">
        <f>+P112/5*4</f>
        <v>16440</v>
      </c>
      <c r="Q90" s="221">
        <f t="shared" ref="Q90:W90" si="83">+Q112/5*4</f>
        <v>18800</v>
      </c>
      <c r="R90" s="221">
        <f t="shared" si="83"/>
        <v>21160</v>
      </c>
      <c r="S90" s="221">
        <f t="shared" si="83"/>
        <v>23480</v>
      </c>
      <c r="T90" s="221">
        <f t="shared" si="83"/>
        <v>25360</v>
      </c>
      <c r="U90" s="221">
        <f t="shared" si="83"/>
        <v>27240</v>
      </c>
      <c r="V90" s="221">
        <f t="shared" si="83"/>
        <v>29120</v>
      </c>
      <c r="W90" s="221">
        <f t="shared" si="83"/>
        <v>31000</v>
      </c>
      <c r="Y90" s="221">
        <f t="shared" ref="Y90:AF92" si="84">+Y112/5*4</f>
        <v>17280</v>
      </c>
      <c r="Z90" s="221">
        <f t="shared" si="84"/>
        <v>19760</v>
      </c>
      <c r="AA90" s="221">
        <f t="shared" si="84"/>
        <v>22240</v>
      </c>
      <c r="AB90" s="221">
        <f t="shared" si="84"/>
        <v>24680</v>
      </c>
      <c r="AC90" s="221">
        <f t="shared" si="84"/>
        <v>26680</v>
      </c>
      <c r="AD90" s="221">
        <f t="shared" si="84"/>
        <v>28640</v>
      </c>
      <c r="AE90" s="221">
        <f t="shared" si="84"/>
        <v>30640</v>
      </c>
      <c r="AF90" s="221">
        <f t="shared" si="84"/>
        <v>32600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17560</v>
      </c>
      <c r="F91" s="190">
        <f t="shared" ref="F91:L91" si="86">+MAX(F90,F92)</f>
        <v>20040</v>
      </c>
      <c r="G91" s="190">
        <f t="shared" si="86"/>
        <v>22560</v>
      </c>
      <c r="H91" s="190">
        <f t="shared" si="86"/>
        <v>25040</v>
      </c>
      <c r="I91" s="190">
        <f t="shared" si="86"/>
        <v>27080</v>
      </c>
      <c r="J91" s="190">
        <f t="shared" si="86"/>
        <v>29080</v>
      </c>
      <c r="K91" s="190">
        <f t="shared" si="86"/>
        <v>31080</v>
      </c>
      <c r="L91" s="190">
        <f t="shared" si="86"/>
        <v>33080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17560</v>
      </c>
      <c r="F92" s="239">
        <f t="shared" si="87"/>
        <v>20040</v>
      </c>
      <c r="G92" s="239">
        <f t="shared" si="87"/>
        <v>22560</v>
      </c>
      <c r="H92" s="239">
        <f t="shared" si="87"/>
        <v>25040</v>
      </c>
      <c r="I92" s="239">
        <f t="shared" si="87"/>
        <v>27080</v>
      </c>
      <c r="J92" s="239">
        <f t="shared" si="87"/>
        <v>29080</v>
      </c>
      <c r="K92" s="239">
        <f t="shared" si="87"/>
        <v>31080</v>
      </c>
      <c r="L92" s="239">
        <f t="shared" si="87"/>
        <v>33080</v>
      </c>
      <c r="N92" s="108" t="s">
        <v>2229</v>
      </c>
      <c r="P92" s="221">
        <f>+P114/5*4</f>
        <v>17400</v>
      </c>
      <c r="Q92" s="221">
        <f t="shared" ref="Q92:W92" si="88">+Q114/5*4</f>
        <v>19880</v>
      </c>
      <c r="R92" s="221">
        <f t="shared" si="88"/>
        <v>22360</v>
      </c>
      <c r="S92" s="221">
        <f t="shared" si="88"/>
        <v>24840</v>
      </c>
      <c r="T92" s="221">
        <f t="shared" si="88"/>
        <v>26840</v>
      </c>
      <c r="U92" s="221">
        <f t="shared" si="88"/>
        <v>28840</v>
      </c>
      <c r="V92" s="221">
        <f t="shared" si="88"/>
        <v>30840</v>
      </c>
      <c r="W92" s="221">
        <f t="shared" si="88"/>
        <v>32800</v>
      </c>
      <c r="Y92" s="221">
        <f t="shared" si="84"/>
        <v>17560</v>
      </c>
      <c r="Z92" s="221">
        <f t="shared" si="84"/>
        <v>20040</v>
      </c>
      <c r="AA92" s="221">
        <f t="shared" si="84"/>
        <v>22560</v>
      </c>
      <c r="AB92" s="221">
        <f t="shared" si="84"/>
        <v>25040</v>
      </c>
      <c r="AC92" s="221">
        <f t="shared" si="84"/>
        <v>27080</v>
      </c>
      <c r="AD92" s="221">
        <f t="shared" si="84"/>
        <v>29080</v>
      </c>
      <c r="AE92" s="221">
        <f t="shared" si="84"/>
        <v>31080</v>
      </c>
      <c r="AF92" s="221">
        <f t="shared" si="84"/>
        <v>33080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17560</v>
      </c>
      <c r="F93" s="190">
        <f t="shared" ref="F93:L93" si="89">+MAX(F92,F94)</f>
        <v>20040</v>
      </c>
      <c r="G93" s="190">
        <f t="shared" si="89"/>
        <v>22560</v>
      </c>
      <c r="H93" s="190">
        <f t="shared" si="89"/>
        <v>25040</v>
      </c>
      <c r="I93" s="190">
        <f t="shared" si="89"/>
        <v>27080</v>
      </c>
      <c r="J93" s="190">
        <f t="shared" si="89"/>
        <v>29080</v>
      </c>
      <c r="K93" s="190">
        <f t="shared" si="89"/>
        <v>31080</v>
      </c>
      <c r="L93" s="190">
        <f t="shared" si="89"/>
        <v>33080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17560</v>
      </c>
      <c r="F94" s="239">
        <f t="shared" si="90"/>
        <v>20040</v>
      </c>
      <c r="G94" s="239">
        <f t="shared" si="90"/>
        <v>22560</v>
      </c>
      <c r="H94" s="239">
        <f t="shared" si="90"/>
        <v>25040</v>
      </c>
      <c r="I94" s="239">
        <f t="shared" si="90"/>
        <v>27080</v>
      </c>
      <c r="J94" s="239">
        <f t="shared" si="90"/>
        <v>29080</v>
      </c>
      <c r="K94" s="239">
        <f t="shared" si="90"/>
        <v>31080</v>
      </c>
      <c r="L94" s="239">
        <f t="shared" si="90"/>
        <v>33080</v>
      </c>
      <c r="N94" s="108" t="s">
        <v>2269</v>
      </c>
      <c r="P94" s="221">
        <f>+P116*0.8</f>
        <v>16520</v>
      </c>
      <c r="Q94" s="221">
        <f t="shared" ref="Q94:W94" si="91">+Q116*0.8</f>
        <v>18880</v>
      </c>
      <c r="R94" s="221">
        <f t="shared" si="91"/>
        <v>21240</v>
      </c>
      <c r="S94" s="221">
        <f t="shared" si="91"/>
        <v>23600</v>
      </c>
      <c r="T94" s="221">
        <f t="shared" si="91"/>
        <v>25520</v>
      </c>
      <c r="U94" s="221">
        <f t="shared" si="91"/>
        <v>27400</v>
      </c>
      <c r="V94" s="221">
        <f t="shared" si="91"/>
        <v>29280</v>
      </c>
      <c r="W94" s="221">
        <f t="shared" si="91"/>
        <v>31160</v>
      </c>
      <c r="Y94" s="221">
        <f>+Y116*0.8</f>
        <v>17560</v>
      </c>
      <c r="Z94" s="221">
        <f t="shared" ref="Z94:AF94" si="92">+Z116*0.8</f>
        <v>20040</v>
      </c>
      <c r="AA94" s="221">
        <f t="shared" si="92"/>
        <v>22560</v>
      </c>
      <c r="AB94" s="221">
        <f t="shared" si="92"/>
        <v>25040</v>
      </c>
      <c r="AC94" s="221">
        <f t="shared" si="92"/>
        <v>27080</v>
      </c>
      <c r="AD94" s="221">
        <f t="shared" si="92"/>
        <v>29080</v>
      </c>
      <c r="AE94" s="221">
        <f t="shared" si="92"/>
        <v>31080</v>
      </c>
      <c r="AF94" s="221">
        <f t="shared" si="92"/>
        <v>33080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18680</v>
      </c>
      <c r="F95" s="224">
        <f t="shared" ref="F95:L97" si="94">+MAX(F94,F96)</f>
        <v>21360</v>
      </c>
      <c r="G95" s="224">
        <f t="shared" si="94"/>
        <v>24040</v>
      </c>
      <c r="H95" s="224">
        <f t="shared" si="94"/>
        <v>26680</v>
      </c>
      <c r="I95" s="224">
        <f t="shared" si="94"/>
        <v>28840</v>
      </c>
      <c r="J95" s="224">
        <f t="shared" si="94"/>
        <v>30960</v>
      </c>
      <c r="K95" s="224">
        <f t="shared" si="94"/>
        <v>33120</v>
      </c>
      <c r="L95" s="224">
        <f t="shared" si="94"/>
        <v>35240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18680</v>
      </c>
      <c r="F96" s="187">
        <f t="shared" ref="F96:L96" si="96">+MAX(Q96,Z96,AJ96)</f>
        <v>21360</v>
      </c>
      <c r="G96" s="187">
        <f t="shared" si="96"/>
        <v>24040</v>
      </c>
      <c r="H96" s="187">
        <f t="shared" si="96"/>
        <v>26680</v>
      </c>
      <c r="I96" s="187">
        <f t="shared" si="96"/>
        <v>28840</v>
      </c>
      <c r="J96" s="187">
        <f t="shared" si="96"/>
        <v>30960</v>
      </c>
      <c r="K96" s="187">
        <f t="shared" si="96"/>
        <v>33120</v>
      </c>
      <c r="L96" s="187">
        <f t="shared" si="96"/>
        <v>35240</v>
      </c>
      <c r="N96" s="269" t="s">
        <v>2432</v>
      </c>
      <c r="P96" s="226">
        <f>+P118*0.8</f>
        <v>17680</v>
      </c>
      <c r="Q96" s="226">
        <f t="shared" ref="Q96:W96" si="97">+Q118*0.8</f>
        <v>20200</v>
      </c>
      <c r="R96" s="226">
        <f t="shared" si="97"/>
        <v>22720</v>
      </c>
      <c r="S96" s="226">
        <f t="shared" si="97"/>
        <v>25240</v>
      </c>
      <c r="T96" s="226">
        <f t="shared" si="97"/>
        <v>27280</v>
      </c>
      <c r="U96" s="226">
        <f t="shared" si="97"/>
        <v>29280</v>
      </c>
      <c r="V96" s="226">
        <f t="shared" si="97"/>
        <v>31320</v>
      </c>
      <c r="W96" s="226">
        <f t="shared" si="97"/>
        <v>33320</v>
      </c>
      <c r="Y96" s="226">
        <f>+Y118*0.8</f>
        <v>18680</v>
      </c>
      <c r="Z96" s="226">
        <f t="shared" ref="Z96:AF98" si="98">+Z118*0.8</f>
        <v>21360</v>
      </c>
      <c r="AA96" s="226">
        <f t="shared" si="98"/>
        <v>24040</v>
      </c>
      <c r="AB96" s="226">
        <f t="shared" si="98"/>
        <v>26680</v>
      </c>
      <c r="AC96" s="226">
        <f t="shared" si="98"/>
        <v>28840</v>
      </c>
      <c r="AD96" s="226">
        <f t="shared" si="98"/>
        <v>30960</v>
      </c>
      <c r="AE96" s="226">
        <f t="shared" si="98"/>
        <v>33120</v>
      </c>
      <c r="AF96" s="226">
        <f t="shared" si="98"/>
        <v>35240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18680</v>
      </c>
      <c r="F97" s="224">
        <f t="shared" si="94"/>
        <v>21360</v>
      </c>
      <c r="G97" s="224">
        <f t="shared" si="94"/>
        <v>24040</v>
      </c>
      <c r="H97" s="224">
        <f t="shared" si="94"/>
        <v>26680</v>
      </c>
      <c r="I97" s="224">
        <f t="shared" si="94"/>
        <v>28840</v>
      </c>
      <c r="J97" s="224">
        <f t="shared" si="94"/>
        <v>30960</v>
      </c>
      <c r="K97" s="224">
        <f t="shared" si="94"/>
        <v>33120</v>
      </c>
      <c r="L97" s="224">
        <f t="shared" si="94"/>
        <v>35240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18680</v>
      </c>
      <c r="F98" s="187">
        <f t="shared" ref="F98" si="102">+MAX(Q98,Z98,AJ98)</f>
        <v>21360</v>
      </c>
      <c r="G98" s="187">
        <f t="shared" ref="G98" si="103">+MAX(R98,AA98,AK98)</f>
        <v>24040</v>
      </c>
      <c r="H98" s="187">
        <f t="shared" ref="H98" si="104">+MAX(S98,AB98,AL98)</f>
        <v>26680</v>
      </c>
      <c r="I98" s="187">
        <f t="shared" ref="I98" si="105">+MAX(T98,AC98,AM98)</f>
        <v>28840</v>
      </c>
      <c r="J98" s="187">
        <f t="shared" ref="J98" si="106">+MAX(U98,AD98,AN98)</f>
        <v>30960</v>
      </c>
      <c r="K98" s="187">
        <f t="shared" ref="K98" si="107">+MAX(V98,AE98,AO98)</f>
        <v>33120</v>
      </c>
      <c r="L98" s="187">
        <f t="shared" ref="L98" si="108">+MAX(W98,AF98,AP98)</f>
        <v>35240</v>
      </c>
      <c r="N98" s="316" t="s">
        <v>2419</v>
      </c>
      <c r="P98" s="226">
        <f>P120*0.8</f>
        <v>18280</v>
      </c>
      <c r="Q98" s="226">
        <f t="shared" ref="Q98:W98" si="109">Q120*0.8</f>
        <v>20880</v>
      </c>
      <c r="R98" s="226">
        <f t="shared" si="109"/>
        <v>23480</v>
      </c>
      <c r="S98" s="226">
        <f t="shared" si="109"/>
        <v>26080</v>
      </c>
      <c r="T98" s="226">
        <f t="shared" si="109"/>
        <v>28200</v>
      </c>
      <c r="U98" s="226">
        <f t="shared" si="109"/>
        <v>30280</v>
      </c>
      <c r="V98" s="226">
        <f t="shared" si="109"/>
        <v>32360</v>
      </c>
      <c r="W98" s="226">
        <f t="shared" si="109"/>
        <v>34440</v>
      </c>
      <c r="Y98" s="226">
        <f>+Y120*0.8</f>
        <v>18680</v>
      </c>
      <c r="Z98" s="226">
        <f t="shared" si="98"/>
        <v>21360</v>
      </c>
      <c r="AA98" s="226">
        <f t="shared" si="98"/>
        <v>24040</v>
      </c>
      <c r="AB98" s="226">
        <f t="shared" si="98"/>
        <v>26680</v>
      </c>
      <c r="AC98" s="226">
        <f t="shared" si="98"/>
        <v>28840</v>
      </c>
      <c r="AD98" s="226">
        <f t="shared" si="98"/>
        <v>30960</v>
      </c>
      <c r="AE98" s="226">
        <f t="shared" si="98"/>
        <v>33120</v>
      </c>
      <c r="AF98" s="226">
        <f t="shared" si="98"/>
        <v>35240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41" t="s">
        <v>1415</v>
      </c>
      <c r="Q100" s="341"/>
      <c r="R100" s="341"/>
      <c r="S100" s="341"/>
      <c r="T100" s="341"/>
      <c r="U100" s="341"/>
      <c r="V100" s="341"/>
      <c r="W100" s="341"/>
      <c r="Y100" s="339" t="s">
        <v>1416</v>
      </c>
      <c r="Z100" s="339"/>
      <c r="AA100" s="339"/>
      <c r="AB100" s="339"/>
      <c r="AC100" s="339"/>
      <c r="AD100" s="339"/>
      <c r="AE100" s="339"/>
      <c r="AF100" s="339"/>
      <c r="AI100" s="335" t="s">
        <v>1417</v>
      </c>
      <c r="AJ100" s="335"/>
      <c r="AK100" s="335"/>
      <c r="AL100" s="335"/>
      <c r="AM100" s="335"/>
      <c r="AN100" s="335"/>
      <c r="AO100" s="335"/>
      <c r="AP100" s="335"/>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20250</v>
      </c>
      <c r="F101" s="112">
        <f t="shared" si="113"/>
        <v>23150</v>
      </c>
      <c r="G101" s="112">
        <f t="shared" si="113"/>
        <v>26050</v>
      </c>
      <c r="H101" s="112">
        <f t="shared" si="113"/>
        <v>28950</v>
      </c>
      <c r="I101" s="112">
        <f t="shared" si="113"/>
        <v>31250</v>
      </c>
      <c r="J101" s="112">
        <f t="shared" si="113"/>
        <v>33600</v>
      </c>
      <c r="K101" s="112">
        <f t="shared" si="113"/>
        <v>35900</v>
      </c>
      <c r="L101" s="112">
        <f t="shared" si="113"/>
        <v>38200</v>
      </c>
      <c r="N101" s="104" t="str">
        <f>CONCATENATE($AU$10,$B$11,N100)</f>
        <v>Before 12-31-2008Grayson50</v>
      </c>
      <c r="P101" s="226">
        <f>VLOOKUP($N101,'pre 12-31-08'!$A$4:$L$1400,E$100+3,FALSE)</f>
        <v>20250</v>
      </c>
      <c r="Q101" s="226">
        <f>VLOOKUP($N101,'pre 12-31-08'!$A$4:$L$1400,F$100+3,FALSE)</f>
        <v>23150</v>
      </c>
      <c r="R101" s="226">
        <f>VLOOKUP($N101,'pre 12-31-08'!$A$4:$L$1400,G$100+3,FALSE)</f>
        <v>26050</v>
      </c>
      <c r="S101" s="226">
        <f>VLOOKUP($N101,'pre 12-31-08'!$A$4:$L$1400,H$100+3,FALSE)</f>
        <v>28950</v>
      </c>
      <c r="T101" s="226">
        <f>VLOOKUP($N101,'pre 12-31-08'!$A$4:$L$1400,I$100+3,FALSE)</f>
        <v>31250</v>
      </c>
      <c r="U101" s="226">
        <f>VLOOKUP($N101,'pre 12-31-08'!$A$4:$L$1400,J$100+3,FALSE)</f>
        <v>33600</v>
      </c>
      <c r="V101" s="226">
        <f>VLOOKUP($N101,'pre 12-31-08'!$A$4:$L$1400,K$100+3,FALSE)</f>
        <v>35900</v>
      </c>
      <c r="W101" s="226">
        <f>VLOOKUP($N101,'pre 12-31-08'!$A$4:$L$1400,L$100+3,FALSE)</f>
        <v>38200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20200</v>
      </c>
      <c r="F102" s="112">
        <f t="shared" si="113"/>
        <v>23050</v>
      </c>
      <c r="G102" s="112">
        <f t="shared" si="113"/>
        <v>25950</v>
      </c>
      <c r="H102" s="112">
        <f t="shared" si="113"/>
        <v>28800</v>
      </c>
      <c r="I102" s="112">
        <f t="shared" si="113"/>
        <v>31150</v>
      </c>
      <c r="J102" s="112">
        <f t="shared" si="113"/>
        <v>33450</v>
      </c>
      <c r="K102" s="112">
        <f t="shared" si="113"/>
        <v>35750</v>
      </c>
      <c r="L102" s="112">
        <f t="shared" si="113"/>
        <v>38050</v>
      </c>
      <c r="N102" s="104" t="str">
        <f>CONCATENATE($AU$11,$B$11,N100)</f>
        <v>1/1/2009 - 5/13/2010Grayson50</v>
      </c>
      <c r="P102" s="226">
        <f>VLOOKUP($N102,'1-1-09-5-14-10'!$A$4:$L$1400,E$100+3,FALSE)</f>
        <v>20200</v>
      </c>
      <c r="Q102" s="226">
        <f>VLOOKUP($N102,'1-1-09-5-14-10'!$A$4:$L$1400,F$100+3,FALSE)</f>
        <v>23050</v>
      </c>
      <c r="R102" s="226">
        <f>VLOOKUP($N102,'1-1-09-5-14-10'!$A$4:$L$1400,G$100+3,FALSE)</f>
        <v>25950</v>
      </c>
      <c r="S102" s="226">
        <f>VLOOKUP($N102,'1-1-09-5-14-10'!$A$4:$L$1400,H$100+3,FALSE)</f>
        <v>28800</v>
      </c>
      <c r="T102" s="226">
        <f>VLOOKUP($N102,'1-1-09-5-14-10'!$A$4:$L$1400,I$100+3,FALSE)</f>
        <v>31150</v>
      </c>
      <c r="U102" s="226">
        <f>VLOOKUP($N102,'1-1-09-5-14-10'!$A$4:$L$1400,J$100+3,FALSE)</f>
        <v>33450</v>
      </c>
      <c r="V102" s="226">
        <f>VLOOKUP($N102,'1-1-09-5-14-10'!$A$4:$L$1400,K$100+3,FALSE)</f>
        <v>35750</v>
      </c>
      <c r="W102" s="226">
        <f>VLOOKUP($N102,'1-1-09-5-14-10'!$A$4:$L$1400,L$100+3,FALSE)</f>
        <v>38050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20200</v>
      </c>
      <c r="F103" s="190">
        <f t="shared" si="115"/>
        <v>23050</v>
      </c>
      <c r="G103" s="190">
        <f t="shared" si="115"/>
        <v>25950</v>
      </c>
      <c r="H103" s="190">
        <f t="shared" si="115"/>
        <v>28800</v>
      </c>
      <c r="I103" s="190">
        <f t="shared" si="115"/>
        <v>31150</v>
      </c>
      <c r="J103" s="190">
        <f t="shared" si="115"/>
        <v>33450</v>
      </c>
      <c r="K103" s="190">
        <f t="shared" si="115"/>
        <v>35750</v>
      </c>
      <c r="L103" s="190">
        <f t="shared" si="115"/>
        <v>38050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20200</v>
      </c>
      <c r="F104" s="112">
        <f t="shared" si="113"/>
        <v>23050</v>
      </c>
      <c r="G104" s="112">
        <f t="shared" si="113"/>
        <v>25950</v>
      </c>
      <c r="H104" s="112">
        <f t="shared" si="113"/>
        <v>28800</v>
      </c>
      <c r="I104" s="112">
        <f t="shared" si="113"/>
        <v>31150</v>
      </c>
      <c r="J104" s="112">
        <f t="shared" si="113"/>
        <v>33450</v>
      </c>
      <c r="K104" s="112">
        <f t="shared" si="113"/>
        <v>35750</v>
      </c>
      <c r="L104" s="112">
        <f t="shared" si="113"/>
        <v>38050</v>
      </c>
      <c r="N104" s="104" t="str">
        <f>CONCATENATE($AU$13,$B$11,N100)</f>
        <v>6/29/2010 - 5/30/2011Grayson50</v>
      </c>
      <c r="P104" s="226">
        <f>VLOOKUP($N104,'5-14-10-5-31-11'!$A$4:$L$1400,E$100+3,FALSE)</f>
        <v>20200</v>
      </c>
      <c r="Q104" s="226">
        <f>VLOOKUP($N104,'5-14-10-5-31-11'!$A$4:$L$1400,F$100+3,FALSE)</f>
        <v>23050</v>
      </c>
      <c r="R104" s="226">
        <f>VLOOKUP($N104,'5-14-10-5-31-11'!$A$4:$L$1400,G$100+3,FALSE)</f>
        <v>25950</v>
      </c>
      <c r="S104" s="226">
        <f>VLOOKUP($N104,'5-14-10-5-31-11'!$A$4:$L$1400,H$100+3,FALSE)</f>
        <v>28800</v>
      </c>
      <c r="T104" s="226">
        <f>VLOOKUP($N104,'5-14-10-5-31-11'!$A$4:$L$1400,I$100+3,FALSE)</f>
        <v>31150</v>
      </c>
      <c r="U104" s="226">
        <f>VLOOKUP($N104,'5-14-10-5-31-11'!$A$4:$L$1400,J$100+3,FALSE)</f>
        <v>33450</v>
      </c>
      <c r="V104" s="226">
        <f>VLOOKUP($N104,'5-14-10-5-31-11'!$A$4:$L$1400,K$100+3,FALSE)</f>
        <v>35750</v>
      </c>
      <c r="W104" s="226">
        <f>VLOOKUP($N104,'5-14-10-5-31-11'!$A$4:$L$1400,L$100+3,FALSE)</f>
        <v>38050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20650</v>
      </c>
      <c r="F105" s="190">
        <f t="shared" si="116"/>
        <v>23600</v>
      </c>
      <c r="G105" s="190">
        <f t="shared" si="116"/>
        <v>26550</v>
      </c>
      <c r="H105" s="190">
        <f t="shared" si="116"/>
        <v>29500</v>
      </c>
      <c r="I105" s="190">
        <f t="shared" si="116"/>
        <v>31900</v>
      </c>
      <c r="J105" s="190">
        <f t="shared" si="116"/>
        <v>34250</v>
      </c>
      <c r="K105" s="190">
        <f t="shared" si="116"/>
        <v>36600</v>
      </c>
      <c r="L105" s="190">
        <f t="shared" si="116"/>
        <v>38950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20650</v>
      </c>
      <c r="F106" s="112">
        <f t="shared" si="113"/>
        <v>23600</v>
      </c>
      <c r="G106" s="112">
        <f t="shared" si="113"/>
        <v>26550</v>
      </c>
      <c r="H106" s="112">
        <f t="shared" si="113"/>
        <v>29500</v>
      </c>
      <c r="I106" s="112">
        <f t="shared" si="113"/>
        <v>31900</v>
      </c>
      <c r="J106" s="112">
        <f t="shared" si="113"/>
        <v>34250</v>
      </c>
      <c r="K106" s="112">
        <f t="shared" si="113"/>
        <v>36600</v>
      </c>
      <c r="L106" s="112">
        <f t="shared" si="113"/>
        <v>38950</v>
      </c>
      <c r="N106" s="104" t="str">
        <f>CONCATENATE(AU15,$B$11)</f>
        <v>7/16/2011 - 11/31/2011Grayson</v>
      </c>
      <c r="P106" s="226">
        <f>VLOOKUP($N106,'6-1-11'!$A$4:$L$257,E$100+4,FALSE)</f>
        <v>20650</v>
      </c>
      <c r="Q106" s="226">
        <f>VLOOKUP($N106,'6-1-11'!$A$4:$L$257,F$100+4,FALSE)</f>
        <v>23600</v>
      </c>
      <c r="R106" s="226">
        <f>VLOOKUP($N106,'6-1-11'!$A$4:$L$257,G$100+4,FALSE)</f>
        <v>26550</v>
      </c>
      <c r="S106" s="226">
        <f>VLOOKUP($N106,'6-1-11'!$A$4:$L$257,H$100+4,FALSE)</f>
        <v>29500</v>
      </c>
      <c r="T106" s="226">
        <f>VLOOKUP($N106,'6-1-11'!$A$4:$L$257,I$100+4,FALSE)</f>
        <v>31900</v>
      </c>
      <c r="U106" s="226">
        <f>VLOOKUP($N106,'6-1-11'!$A$4:$L$257,J$100+4,FALSE)</f>
        <v>34250</v>
      </c>
      <c r="V106" s="226">
        <f>VLOOKUP($N106,'6-1-11'!$A$4:$L$257,K$100+4,FALSE)</f>
        <v>36600</v>
      </c>
      <c r="W106" s="226">
        <f>VLOOKUP($N106,'6-1-11'!$A$4:$L$257,L$100+4,FALSE)</f>
        <v>38950</v>
      </c>
      <c r="Y106" s="226">
        <f>IF($B$18=$AU$10,VLOOKUP($N106,'6-1-11'!$A$4:$AK$257,E$100+21,FALSE),0)</f>
        <v>0</v>
      </c>
      <c r="Z106" s="226">
        <f>IF($B$18=$AU$10,VLOOKUP($N106,'6-1-11'!$A$4:$AK$257,F$100+21,FALSE),0)</f>
        <v>0</v>
      </c>
      <c r="AA106" s="226">
        <f>IF($B$18=$AU$10,VLOOKUP($N106,'6-1-11'!$A$4:$AK$257,G$100+21,FALSE),0)</f>
        <v>0</v>
      </c>
      <c r="AB106" s="226">
        <f>IF($B$18=$AU$10,VLOOKUP($N106,'6-1-11'!$A$4:$AK$257,H$100+21,FALSE),0)</f>
        <v>0</v>
      </c>
      <c r="AC106" s="226">
        <f>IF($B$18=$AU$10,VLOOKUP($N106,'6-1-11'!$A$4:$AK$257,I$100+21,FALSE),0)</f>
        <v>0</v>
      </c>
      <c r="AD106" s="226">
        <f>IF($B$18=$AU$10,VLOOKUP($N106,'6-1-11'!$A$4:$AK$257,J$100+21,FALSE),0)</f>
        <v>0</v>
      </c>
      <c r="AE106" s="226">
        <f>IF($B$18=$AU$10,VLOOKUP($N106,'6-1-11'!$A$4:$AK$257,K$100+21,FALSE),0)</f>
        <v>0</v>
      </c>
      <c r="AF106" s="226">
        <f>IF($B$18=$AU$10,VLOOKUP($N106,'6-1-11'!$A$4:$AK$257,L$100+21,FALSE),0)</f>
        <v>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20950</v>
      </c>
      <c r="F107" s="190">
        <f t="shared" si="117"/>
        <v>23950</v>
      </c>
      <c r="G107" s="190">
        <f t="shared" si="117"/>
        <v>26950</v>
      </c>
      <c r="H107" s="190">
        <f t="shared" si="117"/>
        <v>29900</v>
      </c>
      <c r="I107" s="190">
        <f t="shared" si="117"/>
        <v>32300</v>
      </c>
      <c r="J107" s="190">
        <f t="shared" si="117"/>
        <v>34700</v>
      </c>
      <c r="K107" s="190">
        <f t="shared" si="117"/>
        <v>37100</v>
      </c>
      <c r="L107" s="190">
        <f t="shared" si="117"/>
        <v>39500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20950</v>
      </c>
      <c r="F108" s="112">
        <f t="shared" si="113"/>
        <v>23950</v>
      </c>
      <c r="G108" s="112">
        <f t="shared" si="113"/>
        <v>26950</v>
      </c>
      <c r="H108" s="112">
        <f t="shared" si="113"/>
        <v>29900</v>
      </c>
      <c r="I108" s="112">
        <f t="shared" si="113"/>
        <v>32300</v>
      </c>
      <c r="J108" s="112">
        <f t="shared" si="113"/>
        <v>34700</v>
      </c>
      <c r="K108" s="112">
        <f t="shared" si="113"/>
        <v>37100</v>
      </c>
      <c r="L108" s="112">
        <f t="shared" si="113"/>
        <v>39500</v>
      </c>
      <c r="N108" s="104" t="str">
        <f>CONCATENATE(AU17,$B$11)</f>
        <v>1/16/2012 - 12/3/2012Grayson</v>
      </c>
      <c r="P108" s="226">
        <f>VLOOKUP($N108,'12-1-11'!$A$4:$L$257,E$100+4,FALSE)</f>
        <v>20950</v>
      </c>
      <c r="Q108" s="226">
        <f>VLOOKUP($N108,'12-1-11'!$A$4:$L$257,F$100+4,FALSE)</f>
        <v>23950</v>
      </c>
      <c r="R108" s="226">
        <f>VLOOKUP($N108,'12-1-11'!$A$4:$L$257,G$100+4,FALSE)</f>
        <v>26950</v>
      </c>
      <c r="S108" s="226">
        <f>VLOOKUP($N108,'12-1-11'!$A$4:$L$257,H$100+4,FALSE)</f>
        <v>29900</v>
      </c>
      <c r="T108" s="226">
        <f>VLOOKUP($N108,'12-1-11'!$A$4:$L$257,I$100+4,FALSE)</f>
        <v>32300</v>
      </c>
      <c r="U108" s="226">
        <f>VLOOKUP($N108,'12-1-11'!$A$4:$L$257,J$100+4,FALSE)</f>
        <v>34700</v>
      </c>
      <c r="V108" s="226">
        <f>VLOOKUP($N108,'12-1-11'!$A$4:$L$257,K$100+4,FALSE)</f>
        <v>37100</v>
      </c>
      <c r="W108" s="226">
        <f>VLOOKUP($N108,'12-1-11'!$A$4:$L$257,L$100+4,FALSE)</f>
        <v>39500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21600</v>
      </c>
      <c r="F109" s="190">
        <f t="shared" si="119"/>
        <v>24700</v>
      </c>
      <c r="G109" s="190">
        <f t="shared" si="119"/>
        <v>27800</v>
      </c>
      <c r="H109" s="190">
        <f t="shared" si="119"/>
        <v>30850</v>
      </c>
      <c r="I109" s="190">
        <f t="shared" si="119"/>
        <v>33350</v>
      </c>
      <c r="J109" s="190">
        <f t="shared" si="119"/>
        <v>35800</v>
      </c>
      <c r="K109" s="190">
        <f t="shared" si="119"/>
        <v>38300</v>
      </c>
      <c r="L109" s="190">
        <f t="shared" si="119"/>
        <v>40750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21600</v>
      </c>
      <c r="F110" s="112">
        <f t="shared" si="113"/>
        <v>24700</v>
      </c>
      <c r="G110" s="112">
        <f t="shared" si="113"/>
        <v>27800</v>
      </c>
      <c r="H110" s="112">
        <f t="shared" si="113"/>
        <v>30850</v>
      </c>
      <c r="I110" s="112">
        <f t="shared" si="113"/>
        <v>33350</v>
      </c>
      <c r="J110" s="112">
        <f t="shared" si="113"/>
        <v>35800</v>
      </c>
      <c r="K110" s="112">
        <f t="shared" si="113"/>
        <v>38300</v>
      </c>
      <c r="L110" s="112">
        <f t="shared" si="113"/>
        <v>40750</v>
      </c>
      <c r="N110" s="104" t="str">
        <f>CONCATENATE(AU19,$B$11)</f>
        <v>1/18/2013 - 12/17/2013Grayson</v>
      </c>
      <c r="P110" s="226">
        <f>VLOOKUP($N110,'2013 placeholder'!$A$4:$L$257,E$100+4,FALSE)</f>
        <v>21600</v>
      </c>
      <c r="Q110" s="226">
        <f>VLOOKUP($N110,'2013 placeholder'!$A$4:$L$257,F$100+4,FALSE)</f>
        <v>24700</v>
      </c>
      <c r="R110" s="226">
        <f>VLOOKUP($N110,'2013 placeholder'!$A$4:$L$257,G$100+4,FALSE)</f>
        <v>27800</v>
      </c>
      <c r="S110" s="226">
        <f>VLOOKUP($N110,'2013 placeholder'!$A$4:$L$257,H$100+4,FALSE)</f>
        <v>30850</v>
      </c>
      <c r="T110" s="226">
        <f>VLOOKUP($N110,'2013 placeholder'!$A$4:$L$257,I$100+4,FALSE)</f>
        <v>33350</v>
      </c>
      <c r="U110" s="226">
        <f>VLOOKUP($N110,'2013 placeholder'!$A$4:$L$257,J$100+4,FALSE)</f>
        <v>35800</v>
      </c>
      <c r="V110" s="226">
        <f>VLOOKUP($N110,'2013 placeholder'!$A$4:$L$257,K$100+4,FALSE)</f>
        <v>38300</v>
      </c>
      <c r="W110" s="226">
        <f>VLOOKUP($N110,'2013 placeholder'!$A$4:$L$257,L$100+4,FALSE)</f>
        <v>40750</v>
      </c>
      <c r="Y110" s="226">
        <f>IF($B$18=$AU$10,VLOOKUP($N110,'2013 placeholder'!$A$4:$AK$257,E$100+21,FALSE),0)</f>
        <v>0</v>
      </c>
      <c r="Z110" s="226">
        <f>IF($B$18=$AU$10,VLOOKUP($N110,'2013 placeholder'!$A$4:$AK$257,F$100+21,FALSE),0)</f>
        <v>0</v>
      </c>
      <c r="AA110" s="226">
        <f>IF($B$18=$AU$10,VLOOKUP($N110,'2013 placeholder'!$A$4:$AK$257,G$100+21,FALSE),0)</f>
        <v>0</v>
      </c>
      <c r="AB110" s="226">
        <f>IF($B$18=$AU$10,VLOOKUP($N110,'2013 placeholder'!$A$4:$AK$257,H$100+21,FALSE),0)</f>
        <v>0</v>
      </c>
      <c r="AC110" s="226">
        <f>IF($B$18=$AU$10,VLOOKUP($N110,'2013 placeholder'!$A$4:$AK$257,I$100+21,FALSE),0)</f>
        <v>0</v>
      </c>
      <c r="AD110" s="226">
        <f>IF($B$18=$AU$10,VLOOKUP($N110,'2013 placeholder'!$A$4:$AK$257,J$100+21,FALSE),0)</f>
        <v>0</v>
      </c>
      <c r="AE110" s="226">
        <f>IF($B$18=$AU$10,VLOOKUP($N110,'2013 placeholder'!$A$4:$AK$257,K$100+21,FALSE),0)</f>
        <v>0</v>
      </c>
      <c r="AF110" s="226">
        <f>IF($B$18=$AU$10,VLOOKUP($N110,'2013 placeholder'!$A$4:$AK$257,L$100+21,FALSE),0)</f>
        <v>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21600</v>
      </c>
      <c r="F111" s="190">
        <f t="shared" si="121"/>
        <v>24700</v>
      </c>
      <c r="G111" s="190">
        <f t="shared" si="121"/>
        <v>27800</v>
      </c>
      <c r="H111" s="190">
        <f t="shared" si="121"/>
        <v>30850</v>
      </c>
      <c r="I111" s="190">
        <f t="shared" si="121"/>
        <v>33350</v>
      </c>
      <c r="J111" s="190">
        <f t="shared" si="121"/>
        <v>35800</v>
      </c>
      <c r="K111" s="190">
        <f t="shared" si="121"/>
        <v>38300</v>
      </c>
      <c r="L111" s="190">
        <f t="shared" si="121"/>
        <v>40750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21600</v>
      </c>
      <c r="F112" s="112">
        <f t="shared" si="122"/>
        <v>24700</v>
      </c>
      <c r="G112" s="112">
        <f t="shared" si="122"/>
        <v>27800</v>
      </c>
      <c r="H112" s="112">
        <f t="shared" si="122"/>
        <v>30850</v>
      </c>
      <c r="I112" s="112">
        <f t="shared" si="122"/>
        <v>33350</v>
      </c>
      <c r="J112" s="112">
        <f t="shared" si="122"/>
        <v>35800</v>
      </c>
      <c r="K112" s="112">
        <f t="shared" si="122"/>
        <v>38300</v>
      </c>
      <c r="L112" s="112">
        <f t="shared" si="122"/>
        <v>40750</v>
      </c>
      <c r="N112" s="108" t="str">
        <f>CONCATENATE(AU21,$B$11)</f>
        <v>2/1/2014 - 3/5/2015Grayson</v>
      </c>
      <c r="P112" s="226">
        <f>VLOOKUP($N112,'2014 placeholder'!$A$4:$L$257,E$100+4,FALSE)</f>
        <v>20550</v>
      </c>
      <c r="Q112" s="226">
        <f>VLOOKUP($N112,'2014 placeholder'!$A$4:$L$257,F$100+4,FALSE)</f>
        <v>23500</v>
      </c>
      <c r="R112" s="226">
        <f>VLOOKUP($N112,'2014 placeholder'!$A$4:$L$257,G$100+4,FALSE)</f>
        <v>26450</v>
      </c>
      <c r="S112" s="226">
        <f>VLOOKUP($N112,'2014 placeholder'!$A$4:$L$257,H$100+4,FALSE)</f>
        <v>29350</v>
      </c>
      <c r="T112" s="226">
        <f>VLOOKUP($N112,'2014 placeholder'!$A$4:$L$257,I$100+4,FALSE)</f>
        <v>31700</v>
      </c>
      <c r="U112" s="226">
        <f>VLOOKUP($N112,'2014 placeholder'!$A$4:$L$257,J$100+4,FALSE)</f>
        <v>34050</v>
      </c>
      <c r="V112" s="226">
        <f>VLOOKUP($N112,'2014 placeholder'!$A$4:$L$257,K$100+4,FALSE)</f>
        <v>36400</v>
      </c>
      <c r="W112" s="226">
        <f>VLOOKUP($N112,'2014 placeholder'!$A$4:$L$257,L$100+4,FALSE)</f>
        <v>38750</v>
      </c>
      <c r="Y112" s="226">
        <f>IF($B$18=$AU$10,VLOOKUP($N112,'2014 placeholder'!$A$4:$AK$257,E$100+21,FALSE),0)</f>
        <v>21600</v>
      </c>
      <c r="Z112" s="226">
        <f>IF($B$18=$AU$10,VLOOKUP($N112,'2014 placeholder'!$A$4:$AK$257,F$100+21,FALSE),0)</f>
        <v>24700</v>
      </c>
      <c r="AA112" s="226">
        <f>IF($B$18=$AU$10,VLOOKUP($N112,'2014 placeholder'!$A$4:$AK$257,G$100+21,FALSE),0)</f>
        <v>27800</v>
      </c>
      <c r="AB112" s="226">
        <f>IF($B$18=$AU$10,VLOOKUP($N112,'2014 placeholder'!$A$4:$AK$257,H$100+21,FALSE),0)</f>
        <v>30850</v>
      </c>
      <c r="AC112" s="226">
        <f>IF($B$18=$AU$10,VLOOKUP($N112,'2014 placeholder'!$A$4:$AK$257,I$100+21,FALSE),0)</f>
        <v>33350</v>
      </c>
      <c r="AD112" s="226">
        <f>IF($B$18=$AU$10,VLOOKUP($N112,'2014 placeholder'!$A$4:$AK$257,J$100+21,FALSE),0)</f>
        <v>35800</v>
      </c>
      <c r="AE112" s="226">
        <f>IF($B$18=$AU$10,VLOOKUP($N112,'2014 placeholder'!$A$4:$AK$257,K$100+21,FALSE),0)</f>
        <v>38300</v>
      </c>
      <c r="AF112" s="226">
        <f>IF($B$18=$AU$10,VLOOKUP($N112,'2014 placeholder'!$A$4:$AK$257,L$100+21,FALSE),0)</f>
        <v>40750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21950</v>
      </c>
      <c r="F113" s="190">
        <f t="shared" ref="F113:L113" si="123">+MAX(F112,F114)</f>
        <v>25050</v>
      </c>
      <c r="G113" s="190">
        <f t="shared" si="123"/>
        <v>28200</v>
      </c>
      <c r="H113" s="190">
        <f t="shared" si="123"/>
        <v>31300</v>
      </c>
      <c r="I113" s="190">
        <f t="shared" si="123"/>
        <v>33850</v>
      </c>
      <c r="J113" s="190">
        <f t="shared" si="123"/>
        <v>36350</v>
      </c>
      <c r="K113" s="190">
        <f t="shared" si="123"/>
        <v>38850</v>
      </c>
      <c r="L113" s="190">
        <f t="shared" si="123"/>
        <v>41350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21950</v>
      </c>
      <c r="F114" s="239">
        <f t="shared" si="124"/>
        <v>25050</v>
      </c>
      <c r="G114" s="239">
        <f t="shared" si="124"/>
        <v>28200</v>
      </c>
      <c r="H114" s="239">
        <f t="shared" si="124"/>
        <v>31300</v>
      </c>
      <c r="I114" s="239">
        <f t="shared" si="124"/>
        <v>33850</v>
      </c>
      <c r="J114" s="239">
        <f t="shared" si="124"/>
        <v>36350</v>
      </c>
      <c r="K114" s="239">
        <f t="shared" si="124"/>
        <v>38850</v>
      </c>
      <c r="L114" s="239">
        <f t="shared" si="124"/>
        <v>41350</v>
      </c>
      <c r="N114" s="108" t="str">
        <f>CONCATENATE(AU23,$B$11)</f>
        <v>4/21/2015 - 3/27/2016Grayson</v>
      </c>
      <c r="P114" s="226">
        <f>VLOOKUP($N114,'2015 MTSP Limits'!$A$4:$L$257,E$100+4,FALSE)</f>
        <v>21750</v>
      </c>
      <c r="Q114" s="226">
        <f>VLOOKUP($N114,'2015 MTSP Limits'!$A$4:$L$257,F$100+4,FALSE)</f>
        <v>24850</v>
      </c>
      <c r="R114" s="226">
        <f>VLOOKUP($N114,'2015 MTSP Limits'!$A$4:$L$257,G$100+4,FALSE)</f>
        <v>27950</v>
      </c>
      <c r="S114" s="226">
        <f>VLOOKUP($N114,'2015 MTSP Limits'!$A$4:$L$257,H$100+4,FALSE)</f>
        <v>31050</v>
      </c>
      <c r="T114" s="226">
        <f>VLOOKUP($N114,'2015 MTSP Limits'!$A$4:$L$257,I$100+4,FALSE)</f>
        <v>33550</v>
      </c>
      <c r="U114" s="226">
        <f>VLOOKUP($N114,'2015 MTSP Limits'!$A$4:$L$257,J$100+4,FALSE)</f>
        <v>36050</v>
      </c>
      <c r="V114" s="226">
        <f>VLOOKUP($N114,'2015 MTSP Limits'!$A$4:$L$257,K$100+4,FALSE)</f>
        <v>38550</v>
      </c>
      <c r="W114" s="226">
        <f>VLOOKUP($N114,'2015 MTSP Limits'!$A$4:$L$257,L$100+4,FALSE)</f>
        <v>41000</v>
      </c>
      <c r="Y114" s="226">
        <f>IF($B$18=$AU$10,VLOOKUP($N114,'2015 MTSP Limits'!$A$4:$AK$257,E$100+21,FALSE),0)</f>
        <v>21950</v>
      </c>
      <c r="Z114" s="226">
        <f>IF($B$18=$AU$10,VLOOKUP($N114,'2015 MTSP Limits'!$A$4:$AK$257,F$100+21,FALSE),0)</f>
        <v>25050</v>
      </c>
      <c r="AA114" s="226">
        <f>IF($B$18=$AU$10,VLOOKUP($N114,'2015 MTSP Limits'!$A$4:$AK$257,G$100+21,FALSE),0)</f>
        <v>28200</v>
      </c>
      <c r="AB114" s="226">
        <f>IF($B$18=$AU$10,VLOOKUP($N114,'2015 MTSP Limits'!$A$4:$AK$257,H$100+21,FALSE),0)</f>
        <v>31300</v>
      </c>
      <c r="AC114" s="226">
        <f>IF($B$18=$AU$10,VLOOKUP($N114,'2015 MTSP Limits'!$A$4:$AK$257,I$100+21,FALSE),0)</f>
        <v>33850</v>
      </c>
      <c r="AD114" s="226">
        <f>IF($B$18=$AU$10,VLOOKUP($N114,'2015 MTSP Limits'!$A$4:$AK$257,J$100+21,FALSE),0)</f>
        <v>36350</v>
      </c>
      <c r="AE114" s="226">
        <f>IF($B$18=$AU$10,VLOOKUP($N114,'2015 MTSP Limits'!$A$4:$AK$257,K$100+21,FALSE),0)</f>
        <v>38850</v>
      </c>
      <c r="AF114" s="226">
        <f>IF($B$18=$AU$10,VLOOKUP($N114,'2015 MTSP Limits'!$A$4:$AK$257,L$100+21,FALSE),0)</f>
        <v>41350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21950</v>
      </c>
      <c r="F115" s="190">
        <f t="shared" ref="F115:L115" si="125">+MAX(F114,F116)</f>
        <v>25050</v>
      </c>
      <c r="G115" s="190">
        <f t="shared" si="125"/>
        <v>28200</v>
      </c>
      <c r="H115" s="190">
        <f t="shared" si="125"/>
        <v>31300</v>
      </c>
      <c r="I115" s="190">
        <f t="shared" si="125"/>
        <v>33850</v>
      </c>
      <c r="J115" s="190">
        <f t="shared" si="125"/>
        <v>36350</v>
      </c>
      <c r="K115" s="190">
        <f t="shared" si="125"/>
        <v>38850</v>
      </c>
      <c r="L115" s="190">
        <f t="shared" si="125"/>
        <v>41350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21950</v>
      </c>
      <c r="F116" s="239">
        <f t="shared" si="126"/>
        <v>25050</v>
      </c>
      <c r="G116" s="239">
        <f t="shared" si="126"/>
        <v>28200</v>
      </c>
      <c r="H116" s="239">
        <f t="shared" si="126"/>
        <v>31300</v>
      </c>
      <c r="I116" s="239">
        <f t="shared" si="126"/>
        <v>33850</v>
      </c>
      <c r="J116" s="239">
        <f t="shared" si="126"/>
        <v>36350</v>
      </c>
      <c r="K116" s="239">
        <f t="shared" si="126"/>
        <v>38850</v>
      </c>
      <c r="L116" s="239">
        <f t="shared" si="126"/>
        <v>41350</v>
      </c>
      <c r="N116" s="108" t="str">
        <f>CONCATENATE(AU25,$B$11)</f>
        <v>5/13/2016 - 4/13/2017Grayson</v>
      </c>
      <c r="P116" s="226">
        <f>VLOOKUP($N116,MTSP2016!$A$4:$L$257,E$100+4,FALSE)</f>
        <v>20650</v>
      </c>
      <c r="Q116" s="226">
        <f>VLOOKUP($N116,MTSP2016!$A$4:$L$257,F$100+4,FALSE)</f>
        <v>23600</v>
      </c>
      <c r="R116" s="226">
        <f>VLOOKUP($N116,MTSP2016!$A$4:$L$257,G$100+4,FALSE)</f>
        <v>26550</v>
      </c>
      <c r="S116" s="226">
        <f>VLOOKUP($N116,MTSP2016!$A$4:$L$257,H$100+4,FALSE)</f>
        <v>29500</v>
      </c>
      <c r="T116" s="226">
        <f>VLOOKUP($N116,MTSP2016!$A$4:$L$257,I$100+4,FALSE)</f>
        <v>31900</v>
      </c>
      <c r="U116" s="226">
        <f>VLOOKUP($N116,MTSP2016!$A$4:$L$257,J$100+4,FALSE)</f>
        <v>34250</v>
      </c>
      <c r="V116" s="226">
        <f>VLOOKUP($N116,MTSP2016!$A$4:$L$257,K$100+4,FALSE)</f>
        <v>36600</v>
      </c>
      <c r="W116" s="226">
        <f>VLOOKUP($N116,MTSP2016!$A$4:$L$257,L$100+4,FALSE)</f>
        <v>38950</v>
      </c>
      <c r="X116" s="241"/>
      <c r="Y116" s="226">
        <f>IF($B$18=$AU$10,VLOOKUP($N116,MTSP2016!$A$4:$AK$257,E$100+21,FALSE),0)</f>
        <v>21950</v>
      </c>
      <c r="Z116" s="226">
        <f>IF($B$18=$AU$10,VLOOKUP($N116,MTSP2016!$A$4:$AK$257,F$100+21,FALSE),0)</f>
        <v>25050</v>
      </c>
      <c r="AA116" s="226">
        <f>IF($B$18=$AU$10,VLOOKUP($N116,MTSP2016!$A$4:$AK$257,G$100+21,FALSE),0)</f>
        <v>28200</v>
      </c>
      <c r="AB116" s="226">
        <f>IF($B$18=$AU$10,VLOOKUP($N116,MTSP2016!$A$4:$AK$257,H$100+21,FALSE),0)</f>
        <v>31300</v>
      </c>
      <c r="AC116" s="226">
        <f>IF($B$18=$AU$10,VLOOKUP($N116,MTSP2016!$A$4:$AK$257,I$100+21,FALSE),0)</f>
        <v>33850</v>
      </c>
      <c r="AD116" s="226">
        <f>IF($B$18=$AU$10,VLOOKUP($N116,MTSP2016!$A$4:$AK$257,J$100+21,FALSE),0)</f>
        <v>36350</v>
      </c>
      <c r="AE116" s="226">
        <f>IF($B$18=$AU$10,VLOOKUP($N116,MTSP2016!$A$4:$AK$257,K$100+21,FALSE),0)</f>
        <v>38850</v>
      </c>
      <c r="AF116" s="226">
        <f>IF($B$18=$AU$10,VLOOKUP($N116,MTSP2016!$A$4:$AK$257,L$100+21,FALSE),0)</f>
        <v>41350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23350</v>
      </c>
      <c r="F117" s="224">
        <f t="shared" ref="F117:L119" si="127">+MAX(F116,F118)</f>
        <v>26700</v>
      </c>
      <c r="G117" s="224">
        <f t="shared" si="127"/>
        <v>30050</v>
      </c>
      <c r="H117" s="224">
        <f t="shared" si="127"/>
        <v>33350</v>
      </c>
      <c r="I117" s="224">
        <f t="shared" si="127"/>
        <v>36050</v>
      </c>
      <c r="J117" s="224">
        <f t="shared" si="127"/>
        <v>38700</v>
      </c>
      <c r="K117" s="224">
        <f t="shared" si="127"/>
        <v>41400</v>
      </c>
      <c r="L117" s="224">
        <f t="shared" si="127"/>
        <v>44050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23350</v>
      </c>
      <c r="F118" s="187">
        <f t="shared" ref="F118:L118" si="129">+MAX(Q118,Z118,AJ118)</f>
        <v>26700</v>
      </c>
      <c r="G118" s="187">
        <f t="shared" si="129"/>
        <v>30050</v>
      </c>
      <c r="H118" s="187">
        <f t="shared" si="129"/>
        <v>33350</v>
      </c>
      <c r="I118" s="187">
        <f t="shared" si="129"/>
        <v>36050</v>
      </c>
      <c r="J118" s="187">
        <f t="shared" si="129"/>
        <v>38700</v>
      </c>
      <c r="K118" s="187">
        <f t="shared" si="129"/>
        <v>41400</v>
      </c>
      <c r="L118" s="187">
        <f t="shared" si="129"/>
        <v>44050</v>
      </c>
      <c r="N118" s="269" t="str">
        <f>CONCATENATE(AU27,$B$11)</f>
        <v>5/30/2017 - 3/31/2018Grayson</v>
      </c>
      <c r="P118" s="226">
        <f>VLOOKUP($N118,MTSP2017!A4:L257,E$100+4,FALSE)</f>
        <v>22100</v>
      </c>
      <c r="Q118" s="226">
        <f>VLOOKUP($N118,MTSP2017!A4:L257,F$100+4,FALSE)</f>
        <v>25250</v>
      </c>
      <c r="R118" s="226">
        <f>VLOOKUP($N118,MTSP2017!A4:L257,G$100+4,FALSE)</f>
        <v>28400</v>
      </c>
      <c r="S118" s="226">
        <f>VLOOKUP($N118,MTSP2017!A4:L257,H$100+4,FALSE)</f>
        <v>31550</v>
      </c>
      <c r="T118" s="226">
        <f>VLOOKUP($N118,MTSP2017!A4:L257,I$100+4,FALSE)</f>
        <v>34100</v>
      </c>
      <c r="U118" s="226">
        <f>VLOOKUP($N118,MTSP2017!A4:L257,J$100+4,FALSE)</f>
        <v>36600</v>
      </c>
      <c r="V118" s="226">
        <f>VLOOKUP($N118,MTSP2017!A4:L257,K$100+4,FALSE)</f>
        <v>39150</v>
      </c>
      <c r="W118" s="226">
        <f>VLOOKUP($N118,MTSP2017!A4:L257,L$100+4,FALSE)</f>
        <v>41650</v>
      </c>
      <c r="Y118" s="226">
        <f>IF($B$18=$AU$10,VLOOKUP($N$118,MTSP2017!A4:AK257,E$100+21,FALSE),0)</f>
        <v>23350</v>
      </c>
      <c r="Z118" s="226">
        <f>IF($B$18=$AU$10,VLOOKUP($N$118,MTSP2017!A4:AK257,F$100+21,FALSE),0)</f>
        <v>26700</v>
      </c>
      <c r="AA118" s="226">
        <f>IF($B$18=$AU$10,VLOOKUP($N$118,MTSP2017!A4:AK257,G$100+21,FALSE),0)</f>
        <v>30050</v>
      </c>
      <c r="AB118" s="226">
        <f>IF($B$18=$AU$10,VLOOKUP($N$118,MTSP2017!A4:AK257,H$100+21,FALSE),0)</f>
        <v>33350</v>
      </c>
      <c r="AC118" s="226">
        <f>IF($B$18=$AU$10,VLOOKUP($N$118,MTSP2017!A4:AK257,I$100+21,FALSE),0)</f>
        <v>36050</v>
      </c>
      <c r="AD118" s="226">
        <f>IF($B$18=$AU$10,VLOOKUP($N$118,MTSP2017!A4:AK257,J$100+21,FALSE),0)</f>
        <v>38700</v>
      </c>
      <c r="AE118" s="226">
        <f>IF($B$18=$AU$10,VLOOKUP($N$118,MTSP2017!A4:AK257,K$100+21,FALSE),0)</f>
        <v>41400</v>
      </c>
      <c r="AF118" s="226">
        <f>IF($B$18=$AU$10,VLOOKUP($N$118,MTSP2017!A4:AK257,L$100+21,FALSE),0)</f>
        <v>44050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23350</v>
      </c>
      <c r="F119" s="224">
        <f t="shared" si="127"/>
        <v>26700</v>
      </c>
      <c r="G119" s="224">
        <f t="shared" si="127"/>
        <v>30050</v>
      </c>
      <c r="H119" s="224">
        <f t="shared" si="127"/>
        <v>33350</v>
      </c>
      <c r="I119" s="224">
        <f t="shared" si="127"/>
        <v>36050</v>
      </c>
      <c r="J119" s="224">
        <f t="shared" si="127"/>
        <v>38700</v>
      </c>
      <c r="K119" s="224">
        <f t="shared" si="127"/>
        <v>41400</v>
      </c>
      <c r="L119" s="224">
        <f t="shared" si="127"/>
        <v>44050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23350</v>
      </c>
      <c r="F120" s="187">
        <f t="shared" ref="F120" si="132">+MAX(Q120,Z120,AJ120)</f>
        <v>26700</v>
      </c>
      <c r="G120" s="187">
        <f t="shared" ref="G120" si="133">+MAX(R120,AA120,AK120)</f>
        <v>30050</v>
      </c>
      <c r="H120" s="187">
        <f t="shared" ref="H120" si="134">+MAX(S120,AB120,AL120)</f>
        <v>33350</v>
      </c>
      <c r="I120" s="187">
        <f t="shared" ref="I120" si="135">+MAX(T120,AC120,AM120)</f>
        <v>36050</v>
      </c>
      <c r="J120" s="187">
        <f t="shared" ref="J120" si="136">+MAX(U120,AD120,AN120)</f>
        <v>38700</v>
      </c>
      <c r="K120" s="187">
        <f t="shared" ref="K120" si="137">+MAX(V120,AE120,AO120)</f>
        <v>41400</v>
      </c>
      <c r="L120" s="187">
        <f t="shared" ref="L120" si="138">+MAX(W120,AF120,AP120)</f>
        <v>44050</v>
      </c>
      <c r="N120" s="269" t="str">
        <f>CONCATENATE(AU29,$B$11)</f>
        <v>On or After 5/17/2018Grayson</v>
      </c>
      <c r="P120" s="226">
        <f>INDEX(MTSP2018!E3:E257,MATCH('Income-Rent Tool'!$N$120,MTSP2018!$A$3:$A$257,0))</f>
        <v>22850</v>
      </c>
      <c r="Q120" s="226">
        <f>INDEX(MTSP2018!F3:F257,MATCH('Income-Rent Tool'!$N$120,MTSP2018!$A$3:$A$257,0))</f>
        <v>26100</v>
      </c>
      <c r="R120" s="226">
        <f>INDEX(MTSP2018!G3:G257,MATCH('Income-Rent Tool'!$N$120,MTSP2018!$A$3:$A$257,0))</f>
        <v>29350</v>
      </c>
      <c r="S120" s="226">
        <f>INDEX(MTSP2018!H3:H257,MATCH('Income-Rent Tool'!$N$120,MTSP2018!$A$3:$A$257,0))</f>
        <v>32600</v>
      </c>
      <c r="T120" s="226">
        <f>INDEX(MTSP2018!I3:I257,MATCH('Income-Rent Tool'!$N$120,MTSP2018!$A$3:$A$257,0))</f>
        <v>35250</v>
      </c>
      <c r="U120" s="226">
        <f>INDEX(MTSP2018!J3:J257,MATCH('Income-Rent Tool'!$N$120,MTSP2018!$A$3:$A$257,0))</f>
        <v>37850</v>
      </c>
      <c r="V120" s="226">
        <f>INDEX(MTSP2018!K3:K257,MATCH('Income-Rent Tool'!$N$120,MTSP2018!$A$3:$A$257,0))</f>
        <v>40450</v>
      </c>
      <c r="W120" s="226">
        <f>INDEX(MTSP2018!L3:L257,MATCH('Income-Rent Tool'!$N$120,MTSP2018!$A$3:$A$257,0))</f>
        <v>43050</v>
      </c>
      <c r="Y120" s="226">
        <f>IF($B$18=$AU$10,VLOOKUP($N$120,MTSP2018!$A$3:$AR$257,E$100+21,FALSE),0)</f>
        <v>23350</v>
      </c>
      <c r="Z120" s="226">
        <f>IF($B$18=$AU$10,VLOOKUP($N$120,MTSP2018!$A$3:$AR$257,F$100+21,FALSE),0)</f>
        <v>26700</v>
      </c>
      <c r="AA120" s="226">
        <f>IF($B$18=$AU$10,VLOOKUP($N$120,MTSP2018!$A$3:$AR$257,G$100+21,FALSE),0)</f>
        <v>30050</v>
      </c>
      <c r="AB120" s="226">
        <f>IF($B$18=$AU$10,VLOOKUP($N$120,MTSP2018!$A$3:$AR$257,H$100+21,FALSE),0)</f>
        <v>33350</v>
      </c>
      <c r="AC120" s="226">
        <f>IF($B$18=$AU$10,VLOOKUP($N$120,MTSP2018!$A$3:$AR$257,I$100+21,FALSE),0)</f>
        <v>36050</v>
      </c>
      <c r="AD120" s="226">
        <f>IF($B$18=$AU$10,VLOOKUP($N$120,MTSP2018!$A$3:$AR$257,J$100+21,FALSE),0)</f>
        <v>38700</v>
      </c>
      <c r="AE120" s="226">
        <f>IF($B$18=$AU$10,VLOOKUP($N$120,MTSP2018!$A$3:$AR$257,K$100+21,FALSE),0)</f>
        <v>41400</v>
      </c>
      <c r="AF120" s="226">
        <f>IF($B$18=$AU$10,VLOOKUP($N$120,MTSP2018!$A$3:$AR$257,L$100+21,FALSE),0)</f>
        <v>44050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41" t="s">
        <v>1415</v>
      </c>
      <c r="Q122" s="341"/>
      <c r="R122" s="341"/>
      <c r="S122" s="341"/>
      <c r="T122" s="341"/>
      <c r="U122" s="341"/>
      <c r="V122" s="341"/>
      <c r="W122" s="341"/>
      <c r="Y122" s="340" t="s">
        <v>1416</v>
      </c>
      <c r="Z122" s="340"/>
      <c r="AA122" s="340"/>
      <c r="AB122" s="340"/>
      <c r="AC122" s="340"/>
      <c r="AD122" s="340"/>
      <c r="AE122" s="340"/>
      <c r="AF122" s="340"/>
      <c r="AI122" s="335" t="s">
        <v>1417</v>
      </c>
      <c r="AJ122" s="335"/>
      <c r="AK122" s="335"/>
      <c r="AL122" s="335"/>
      <c r="AM122" s="335"/>
      <c r="AN122" s="335"/>
      <c r="AO122" s="335"/>
      <c r="AP122" s="335"/>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24300</v>
      </c>
      <c r="F123" s="112">
        <f t="shared" si="141"/>
        <v>27780</v>
      </c>
      <c r="G123" s="112">
        <f t="shared" si="141"/>
        <v>31260</v>
      </c>
      <c r="H123" s="112">
        <f t="shared" si="141"/>
        <v>34740</v>
      </c>
      <c r="I123" s="112">
        <f t="shared" si="141"/>
        <v>37500</v>
      </c>
      <c r="J123" s="112">
        <f t="shared" si="141"/>
        <v>40320</v>
      </c>
      <c r="K123" s="112">
        <f t="shared" si="141"/>
        <v>43080</v>
      </c>
      <c r="L123" s="112">
        <f t="shared" si="141"/>
        <v>45840</v>
      </c>
      <c r="N123" s="104" t="str">
        <f>CONCATENATE($AU$10,$B$11,$N$122)</f>
        <v>Before 12-31-2008Grayson60</v>
      </c>
      <c r="P123" s="221">
        <f>VLOOKUP($N123,'pre 12-31-08'!$A$4:$L$1400,E$122+3,FALSE)</f>
        <v>24300</v>
      </c>
      <c r="Q123" s="221">
        <f>VLOOKUP($N123,'pre 12-31-08'!$A$4:$L$1400,F$122+3,FALSE)</f>
        <v>27780</v>
      </c>
      <c r="R123" s="221">
        <f>VLOOKUP($N123,'pre 12-31-08'!$A$4:$L$1400,G$122+3,FALSE)</f>
        <v>31260</v>
      </c>
      <c r="S123" s="221">
        <f>VLOOKUP($N123,'pre 12-31-08'!$A$4:$L$1400,H$122+3,FALSE)</f>
        <v>34740</v>
      </c>
      <c r="T123" s="221">
        <f>VLOOKUP($N123,'pre 12-31-08'!$A$4:$L$1400,I$122+3,FALSE)</f>
        <v>37500</v>
      </c>
      <c r="U123" s="221">
        <f>VLOOKUP($N123,'pre 12-31-08'!$A$4:$L$1400,J$122+3,FALSE)</f>
        <v>40320</v>
      </c>
      <c r="V123" s="221">
        <f>VLOOKUP($N123,'pre 12-31-08'!$A$4:$L$1400,K$122+3,FALSE)</f>
        <v>43080</v>
      </c>
      <c r="W123" s="221">
        <f>VLOOKUP($N123,'pre 12-31-08'!$A$4:$L$1400,L$122+3,FALSE)</f>
        <v>45840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24240</v>
      </c>
      <c r="F124" s="112">
        <f t="shared" si="141"/>
        <v>27660</v>
      </c>
      <c r="G124" s="112">
        <f t="shared" si="141"/>
        <v>31140</v>
      </c>
      <c r="H124" s="112">
        <f t="shared" si="141"/>
        <v>34560</v>
      </c>
      <c r="I124" s="112">
        <f t="shared" si="141"/>
        <v>37380</v>
      </c>
      <c r="J124" s="112">
        <f t="shared" si="141"/>
        <v>40140</v>
      </c>
      <c r="K124" s="112">
        <f t="shared" si="141"/>
        <v>42900</v>
      </c>
      <c r="L124" s="112">
        <f t="shared" si="141"/>
        <v>45660</v>
      </c>
      <c r="N124" s="104" t="str">
        <f>CONCATENATE($AU$11,$B$11,$N$122)</f>
        <v>1/1/2009 - 5/13/2010Grayson60</v>
      </c>
      <c r="P124" s="221">
        <f>VLOOKUP($N124,'1-1-09-5-14-10'!$A$4:$L$1400,E$122+3,FALSE)</f>
        <v>24240</v>
      </c>
      <c r="Q124" s="221">
        <f>VLOOKUP($N124,'1-1-09-5-14-10'!$A$4:$L$1400,F$122+3,FALSE)</f>
        <v>27660</v>
      </c>
      <c r="R124" s="221">
        <f>VLOOKUP($N124,'1-1-09-5-14-10'!$A$4:$L$1400,G$122+3,FALSE)</f>
        <v>31140</v>
      </c>
      <c r="S124" s="221">
        <f>VLOOKUP($N124,'1-1-09-5-14-10'!$A$4:$L$1400,H$122+3,FALSE)</f>
        <v>34560</v>
      </c>
      <c r="T124" s="221">
        <f>VLOOKUP($N124,'1-1-09-5-14-10'!$A$4:$L$1400,I$122+3,FALSE)</f>
        <v>37380</v>
      </c>
      <c r="U124" s="221">
        <f>VLOOKUP($N124,'1-1-09-5-14-10'!$A$4:$L$1400,J$122+3,FALSE)</f>
        <v>40140</v>
      </c>
      <c r="V124" s="221">
        <f>VLOOKUP($N124,'1-1-09-5-14-10'!$A$4:$L$1400,K$122+3,FALSE)</f>
        <v>42900</v>
      </c>
      <c r="W124" s="221">
        <f>VLOOKUP($N124,'1-1-09-5-14-10'!$A$4:$L$1400,L$122+3,FALSE)</f>
        <v>45660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24240</v>
      </c>
      <c r="F125" s="190">
        <f t="shared" si="144"/>
        <v>27660</v>
      </c>
      <c r="G125" s="190">
        <f t="shared" si="144"/>
        <v>31140</v>
      </c>
      <c r="H125" s="190">
        <f t="shared" si="144"/>
        <v>34560</v>
      </c>
      <c r="I125" s="190">
        <f t="shared" si="144"/>
        <v>37380</v>
      </c>
      <c r="J125" s="190">
        <f t="shared" si="144"/>
        <v>40140</v>
      </c>
      <c r="K125" s="190">
        <f t="shared" si="144"/>
        <v>42900</v>
      </c>
      <c r="L125" s="190">
        <f t="shared" si="144"/>
        <v>45660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24240</v>
      </c>
      <c r="F126" s="112">
        <f t="shared" si="141"/>
        <v>27660</v>
      </c>
      <c r="G126" s="112">
        <f t="shared" si="141"/>
        <v>31140</v>
      </c>
      <c r="H126" s="112">
        <f t="shared" si="141"/>
        <v>34560</v>
      </c>
      <c r="I126" s="112">
        <f t="shared" si="141"/>
        <v>37380</v>
      </c>
      <c r="J126" s="112">
        <f t="shared" si="141"/>
        <v>40140</v>
      </c>
      <c r="K126" s="112">
        <f t="shared" si="141"/>
        <v>42900</v>
      </c>
      <c r="L126" s="112">
        <f t="shared" si="141"/>
        <v>45660</v>
      </c>
      <c r="N126" s="104" t="str">
        <f>CONCATENATE($AU$13,$B$11,$N$122)</f>
        <v>6/29/2010 - 5/30/2011Grayson60</v>
      </c>
      <c r="P126" s="221">
        <f>VLOOKUP($N126,'5-14-10-5-31-11'!$A$4:$L$1400,E$122+3,FALSE)</f>
        <v>24240</v>
      </c>
      <c r="Q126" s="221">
        <f>VLOOKUP($N126,'5-14-10-5-31-11'!$A$4:$L$1400,F$122+3,FALSE)</f>
        <v>27660</v>
      </c>
      <c r="R126" s="221">
        <f>VLOOKUP($N126,'5-14-10-5-31-11'!$A$4:$L$1400,G$122+3,FALSE)</f>
        <v>31140</v>
      </c>
      <c r="S126" s="221">
        <f>VLOOKUP($N126,'5-14-10-5-31-11'!$A$4:$L$1400,H$122+3,FALSE)</f>
        <v>34560</v>
      </c>
      <c r="T126" s="221">
        <f>VLOOKUP($N126,'5-14-10-5-31-11'!$A$4:$L$1400,I$122+3,FALSE)</f>
        <v>37380</v>
      </c>
      <c r="U126" s="221">
        <f>VLOOKUP($N126,'5-14-10-5-31-11'!$A$4:$L$1400,J$122+3,FALSE)</f>
        <v>40140</v>
      </c>
      <c r="V126" s="221">
        <f>VLOOKUP($N126,'5-14-10-5-31-11'!$A$4:$L$1400,K$122+3,FALSE)</f>
        <v>42900</v>
      </c>
      <c r="W126" s="221">
        <f>VLOOKUP($N126,'5-14-10-5-31-11'!$A$4:$L$1400,L$122+3,FALSE)</f>
        <v>45660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24780</v>
      </c>
      <c r="F127" s="190">
        <f t="shared" si="147"/>
        <v>28320</v>
      </c>
      <c r="G127" s="190">
        <f t="shared" si="147"/>
        <v>31860</v>
      </c>
      <c r="H127" s="190">
        <f t="shared" si="147"/>
        <v>35400</v>
      </c>
      <c r="I127" s="190">
        <f t="shared" si="147"/>
        <v>38280</v>
      </c>
      <c r="J127" s="190">
        <f t="shared" si="147"/>
        <v>41100</v>
      </c>
      <c r="K127" s="190">
        <f t="shared" si="147"/>
        <v>43920</v>
      </c>
      <c r="L127" s="190">
        <f t="shared" si="147"/>
        <v>46740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24780</v>
      </c>
      <c r="F128" s="112">
        <f t="shared" si="141"/>
        <v>28320</v>
      </c>
      <c r="G128" s="112">
        <f t="shared" si="141"/>
        <v>31860</v>
      </c>
      <c r="H128" s="112">
        <f t="shared" si="141"/>
        <v>35400</v>
      </c>
      <c r="I128" s="112">
        <f t="shared" si="141"/>
        <v>38280</v>
      </c>
      <c r="J128" s="112">
        <f t="shared" si="141"/>
        <v>41100</v>
      </c>
      <c r="K128" s="112">
        <f t="shared" si="141"/>
        <v>43920</v>
      </c>
      <c r="L128" s="112">
        <f t="shared" si="141"/>
        <v>46740</v>
      </c>
      <c r="N128" s="104" t="str">
        <f>CONCATENATE(AU15,$B$11)</f>
        <v>7/16/2011 - 11/31/2011Grayson</v>
      </c>
      <c r="P128" s="221">
        <f>VLOOKUP($N128,'6-1-11'!$A$4:$T$257,E$122+12,FALSE)</f>
        <v>24780</v>
      </c>
      <c r="Q128" s="221">
        <f>VLOOKUP($N128,'6-1-11'!$A$4:$T$257,F$122+12,FALSE)</f>
        <v>28320</v>
      </c>
      <c r="R128" s="221">
        <f>VLOOKUP($N128,'6-1-11'!$A$4:$T$257,G$122+12,FALSE)</f>
        <v>31860</v>
      </c>
      <c r="S128" s="221">
        <f>VLOOKUP($N128,'6-1-11'!$A$4:$T$257,H$122+12,FALSE)</f>
        <v>35400</v>
      </c>
      <c r="T128" s="221">
        <f>VLOOKUP($N128,'6-1-11'!$A$4:$T$257,I$122+12,FALSE)</f>
        <v>38280</v>
      </c>
      <c r="U128" s="221">
        <f>VLOOKUP($N128,'6-1-11'!$A$4:$T$257,J$122+12,FALSE)</f>
        <v>41100</v>
      </c>
      <c r="V128" s="221">
        <f>VLOOKUP($N128,'6-1-11'!$A$4:$T$257,K$122+12,FALSE)</f>
        <v>43920</v>
      </c>
      <c r="W128" s="221">
        <f>VLOOKUP($N128,'6-1-11'!$A$4:$T$257,L$122+12,FALSE)</f>
        <v>46740</v>
      </c>
      <c r="Y128" s="221">
        <f>IF($B$18=$AU$10,VLOOKUP($N128,'6-1-11'!$A$4:$AK$257,E$122+29,FALSE),0)</f>
        <v>0</v>
      </c>
      <c r="Z128" s="221">
        <f>IF($B$18=$AU$10,VLOOKUP($N128,'6-1-11'!$A$4:$AK$257,F$122+29,FALSE),0)</f>
        <v>0</v>
      </c>
      <c r="AA128" s="221">
        <f>IF($B$18=$AU$10,VLOOKUP($N128,'6-1-11'!$A$4:$AK$257,G$122+29,FALSE),0)</f>
        <v>0</v>
      </c>
      <c r="AB128" s="221">
        <f>IF($B$18=$AU$10,VLOOKUP($N128,'6-1-11'!$A$4:$AK$257,H$122+29,FALSE),0)</f>
        <v>0</v>
      </c>
      <c r="AC128" s="221">
        <f>IF($B$18=$AU$10,VLOOKUP($N128,'6-1-11'!$A$4:$AK$257,I$122+29,FALSE),0)</f>
        <v>0</v>
      </c>
      <c r="AD128" s="221">
        <f>IF($B$18=$AU$10,VLOOKUP($N128,'6-1-11'!$A$4:$AK$257,J$122+29,FALSE),0)</f>
        <v>0</v>
      </c>
      <c r="AE128" s="221">
        <f>IF($B$18=$AU$10,VLOOKUP($N128,'6-1-11'!$A$4:$AK$257,K$122+29,FALSE),0)</f>
        <v>0</v>
      </c>
      <c r="AF128" s="221">
        <f>IF($B$18=$AU$10,VLOOKUP($N128,'6-1-11'!$A$4:$AK$257,L$122+29,FALSE),0)</f>
        <v>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25140</v>
      </c>
      <c r="F129" s="190">
        <f t="shared" si="149"/>
        <v>28740</v>
      </c>
      <c r="G129" s="190">
        <f t="shared" si="149"/>
        <v>32340</v>
      </c>
      <c r="H129" s="190">
        <f t="shared" si="149"/>
        <v>35880</v>
      </c>
      <c r="I129" s="190">
        <f t="shared" si="149"/>
        <v>38760</v>
      </c>
      <c r="J129" s="190">
        <f t="shared" si="149"/>
        <v>41640</v>
      </c>
      <c r="K129" s="190">
        <f t="shared" si="149"/>
        <v>44520</v>
      </c>
      <c r="L129" s="190">
        <f t="shared" si="149"/>
        <v>47400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25140</v>
      </c>
      <c r="F130" s="112">
        <f t="shared" si="141"/>
        <v>28740</v>
      </c>
      <c r="G130" s="112">
        <f t="shared" si="141"/>
        <v>32340</v>
      </c>
      <c r="H130" s="112">
        <f t="shared" si="141"/>
        <v>35880</v>
      </c>
      <c r="I130" s="112">
        <f t="shared" si="141"/>
        <v>38760</v>
      </c>
      <c r="J130" s="112">
        <f t="shared" si="141"/>
        <v>41640</v>
      </c>
      <c r="K130" s="112">
        <f t="shared" si="141"/>
        <v>44520</v>
      </c>
      <c r="L130" s="112">
        <f t="shared" si="141"/>
        <v>47400</v>
      </c>
      <c r="N130" s="104" t="str">
        <f>CONCATENATE(AU17,$B$11)</f>
        <v>1/16/2012 - 12/3/2012Grayson</v>
      </c>
      <c r="P130" s="221">
        <f>VLOOKUP($N130,'12-1-11'!$A$4:$T$257,E$122+12,FALSE)</f>
        <v>25140</v>
      </c>
      <c r="Q130" s="221">
        <f>VLOOKUP($N130,'12-1-11'!$A$4:$T$257,F$122+12,FALSE)</f>
        <v>28740</v>
      </c>
      <c r="R130" s="221">
        <f>VLOOKUP($N130,'12-1-11'!$A$4:$T$257,G$122+12,FALSE)</f>
        <v>32340</v>
      </c>
      <c r="S130" s="221">
        <f>VLOOKUP($N130,'12-1-11'!$A$4:$T$257,H$122+12,FALSE)</f>
        <v>35880</v>
      </c>
      <c r="T130" s="221">
        <f>VLOOKUP($N130,'12-1-11'!$A$4:$T$257,I$122+12,FALSE)</f>
        <v>38760</v>
      </c>
      <c r="U130" s="221">
        <f>VLOOKUP($N130,'12-1-11'!$A$4:$T$257,J$122+12,FALSE)</f>
        <v>41640</v>
      </c>
      <c r="V130" s="221">
        <f>VLOOKUP($N130,'12-1-11'!$A$4:$T$257,K$122+12,FALSE)</f>
        <v>44520</v>
      </c>
      <c r="W130" s="221">
        <f>VLOOKUP($N130,'12-1-11'!$A$4:$T$257,L$122+12,FALSE)</f>
        <v>47400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25920</v>
      </c>
      <c r="F131" s="190">
        <f t="shared" si="151"/>
        <v>29640</v>
      </c>
      <c r="G131" s="190">
        <f t="shared" si="151"/>
        <v>33360</v>
      </c>
      <c r="H131" s="190">
        <f t="shared" si="151"/>
        <v>37020</v>
      </c>
      <c r="I131" s="190">
        <f t="shared" si="151"/>
        <v>40020</v>
      </c>
      <c r="J131" s="190">
        <f t="shared" si="151"/>
        <v>42960</v>
      </c>
      <c r="K131" s="190">
        <f t="shared" si="151"/>
        <v>45960</v>
      </c>
      <c r="L131" s="190">
        <f t="shared" si="151"/>
        <v>48900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25920</v>
      </c>
      <c r="F132" s="112">
        <f t="shared" si="141"/>
        <v>29640</v>
      </c>
      <c r="G132" s="112">
        <f t="shared" si="141"/>
        <v>33360</v>
      </c>
      <c r="H132" s="112">
        <f t="shared" si="141"/>
        <v>37020</v>
      </c>
      <c r="I132" s="112">
        <f t="shared" si="141"/>
        <v>40020</v>
      </c>
      <c r="J132" s="112">
        <f t="shared" si="141"/>
        <v>42960</v>
      </c>
      <c r="K132" s="112">
        <f t="shared" si="141"/>
        <v>45960</v>
      </c>
      <c r="L132" s="112">
        <f t="shared" si="141"/>
        <v>48900</v>
      </c>
      <c r="N132" s="104" t="str">
        <f>CONCATENATE(AU19,$B$11)</f>
        <v>1/18/2013 - 12/17/2013Grayson</v>
      </c>
      <c r="P132" s="221">
        <f>VLOOKUP($N132,'2013 placeholder'!$A$4:$T$257,E$122+12,FALSE)</f>
        <v>25920</v>
      </c>
      <c r="Q132" s="221">
        <f>VLOOKUP($N132,'2013 placeholder'!$A$4:$T$257,F$122+12,FALSE)</f>
        <v>29640</v>
      </c>
      <c r="R132" s="221">
        <f>VLOOKUP($N132,'2013 placeholder'!$A$4:$T$257,G$122+12,FALSE)</f>
        <v>33360</v>
      </c>
      <c r="S132" s="221">
        <f>VLOOKUP($N132,'2013 placeholder'!$A$4:$T$257,H$122+12,FALSE)</f>
        <v>37020</v>
      </c>
      <c r="T132" s="221">
        <f>VLOOKUP($N132,'2013 placeholder'!$A$4:$T$257,I$122+12,FALSE)</f>
        <v>40020</v>
      </c>
      <c r="U132" s="221">
        <f>VLOOKUP($N132,'2013 placeholder'!$A$4:$T$257,J$122+12,FALSE)</f>
        <v>42960</v>
      </c>
      <c r="V132" s="221">
        <f>VLOOKUP($N132,'2013 placeholder'!$A$4:$T$257,K$122+12,FALSE)</f>
        <v>45960</v>
      </c>
      <c r="W132" s="221">
        <f>VLOOKUP($N132,'2013 placeholder'!$A$4:$T$257,L$122+12,FALSE)</f>
        <v>48900</v>
      </c>
      <c r="Y132" s="221">
        <f>IF($B$18=$AU$10,VLOOKUP($N132,'2013 placeholder'!$A$4:$AK$257,E$122+29,FALSE),0)</f>
        <v>0</v>
      </c>
      <c r="Z132" s="221">
        <f>IF($B$18=$AU$10,VLOOKUP($N132,'2013 placeholder'!$A$4:$AK$257,F$122+29,FALSE),0)</f>
        <v>0</v>
      </c>
      <c r="AA132" s="221">
        <f>IF($B$18=$AU$10,VLOOKUP($N132,'2013 placeholder'!$A$4:$AK$257,G$122+29,FALSE),0)</f>
        <v>0</v>
      </c>
      <c r="AB132" s="221">
        <f>IF($B$18=$AU$10,VLOOKUP($N132,'2013 placeholder'!$A$4:$AK$257,H$122+29,FALSE),0)</f>
        <v>0</v>
      </c>
      <c r="AC132" s="221">
        <f>IF($B$18=$AU$10,VLOOKUP($N132,'2013 placeholder'!$A$4:$AK$257,I$122+29,FALSE),0)</f>
        <v>0</v>
      </c>
      <c r="AD132" s="221">
        <f>IF($B$18=$AU$10,VLOOKUP($N132,'2013 placeholder'!$A$4:$AK$257,J$122+29,FALSE),0)</f>
        <v>0</v>
      </c>
      <c r="AE132" s="221">
        <f>IF($B$18=$AU$10,VLOOKUP($N132,'2013 placeholder'!$A$4:$AK$257,K$122+29,FALSE),0)</f>
        <v>0</v>
      </c>
      <c r="AF132" s="221">
        <f>IF($B$18=$AU$10,VLOOKUP($N132,'2013 placeholder'!$A$4:$AK$257,L$122+29,FALSE),0)</f>
        <v>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25920</v>
      </c>
      <c r="F133" s="190">
        <f t="shared" si="154"/>
        <v>29640</v>
      </c>
      <c r="G133" s="190">
        <f t="shared" si="154"/>
        <v>33360</v>
      </c>
      <c r="H133" s="190">
        <f t="shared" si="154"/>
        <v>37020</v>
      </c>
      <c r="I133" s="190">
        <f t="shared" si="154"/>
        <v>40020</v>
      </c>
      <c r="J133" s="190">
        <f t="shared" si="154"/>
        <v>42960</v>
      </c>
      <c r="K133" s="190">
        <f t="shared" si="154"/>
        <v>45960</v>
      </c>
      <c r="L133" s="190">
        <f t="shared" si="154"/>
        <v>48900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25920</v>
      </c>
      <c r="F134" s="112">
        <f t="shared" si="155"/>
        <v>29640</v>
      </c>
      <c r="G134" s="112">
        <f t="shared" si="155"/>
        <v>33360</v>
      </c>
      <c r="H134" s="112">
        <f t="shared" si="155"/>
        <v>37020</v>
      </c>
      <c r="I134" s="112">
        <f t="shared" si="155"/>
        <v>40020</v>
      </c>
      <c r="J134" s="112">
        <f t="shared" si="155"/>
        <v>42960</v>
      </c>
      <c r="K134" s="112">
        <f t="shared" si="155"/>
        <v>45960</v>
      </c>
      <c r="L134" s="112">
        <f t="shared" si="155"/>
        <v>48900</v>
      </c>
      <c r="N134" s="108" t="str">
        <f>CONCATENATE(AU21,$B$11)</f>
        <v>2/1/2014 - 3/5/2015Grayson</v>
      </c>
      <c r="P134" s="226">
        <f>VLOOKUP($N134,'2014 placeholder'!$A$4:$T$257,E$122+12,FALSE)</f>
        <v>24660</v>
      </c>
      <c r="Q134" s="226">
        <f>VLOOKUP($N134,'2014 placeholder'!$A$4:$T$257,F$122+12,FALSE)</f>
        <v>28200</v>
      </c>
      <c r="R134" s="226">
        <f>VLOOKUP($N134,'2014 placeholder'!$A$4:$T$257,G$122+12,FALSE)</f>
        <v>31740</v>
      </c>
      <c r="S134" s="226">
        <f>VLOOKUP($N134,'2014 placeholder'!$A$4:$T$257,H$122+12,FALSE)</f>
        <v>35220</v>
      </c>
      <c r="T134" s="226">
        <f>VLOOKUP($N134,'2014 placeholder'!$A$4:$T$257,I$122+12,FALSE)</f>
        <v>38040</v>
      </c>
      <c r="U134" s="226">
        <f>VLOOKUP($N134,'2014 placeholder'!$A$4:$T$257,J$122+12,FALSE)</f>
        <v>40860</v>
      </c>
      <c r="V134" s="226">
        <f>VLOOKUP($N134,'2014 placeholder'!$A$4:$T$257,K$122+12,FALSE)</f>
        <v>43680</v>
      </c>
      <c r="W134" s="226">
        <f>VLOOKUP($N134,'2014 placeholder'!$A$4:$T$257,L$122+12,FALSE)</f>
        <v>46500</v>
      </c>
      <c r="Y134" s="226">
        <f>IF($B$18=$AU$10,VLOOKUP($N134,'2014 placeholder'!$A$4:$AK$257,E$122+29,FALSE),0)</f>
        <v>25920</v>
      </c>
      <c r="Z134" s="226">
        <f>IF($B$18=$AU$10,VLOOKUP($N134,'2014 placeholder'!$A$4:$AK$257,F$122+29,FALSE),0)</f>
        <v>29640</v>
      </c>
      <c r="AA134" s="226">
        <f>IF($B$18=$AU$10,VLOOKUP($N134,'2014 placeholder'!$A$4:$AK$257,G$122+29,FALSE),0)</f>
        <v>33360</v>
      </c>
      <c r="AB134" s="226">
        <f>IF($B$18=$AU$10,VLOOKUP($N134,'2014 placeholder'!$A$4:$AK$257,H$122+29,FALSE),0)</f>
        <v>37020</v>
      </c>
      <c r="AC134" s="226">
        <f>IF($B$18=$AU$10,VLOOKUP($N134,'2014 placeholder'!$A$4:$AK$257,I$122+29,FALSE),0)</f>
        <v>40020</v>
      </c>
      <c r="AD134" s="226">
        <f>IF($B$18=$AU$10,VLOOKUP($N134,'2014 placeholder'!$A$4:$AK$257,J$122+29,FALSE),0)</f>
        <v>42960</v>
      </c>
      <c r="AE134" s="226">
        <f>IF($B$18=$AU$10,VLOOKUP($N134,'2014 placeholder'!$A$4:$AK$257,K$122+29,FALSE),0)</f>
        <v>45960</v>
      </c>
      <c r="AF134" s="226">
        <f>IF($B$18=$AU$10,VLOOKUP($N134,'2014 placeholder'!$A$4:$AK$257,L$122+29,FALSE),0)</f>
        <v>48900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26340</v>
      </c>
      <c r="F135" s="190">
        <f t="shared" ref="F135:L135" si="157">+MAX(F134,F136)</f>
        <v>30060</v>
      </c>
      <c r="G135" s="190">
        <f t="shared" si="157"/>
        <v>33840</v>
      </c>
      <c r="H135" s="190">
        <f t="shared" si="157"/>
        <v>37560</v>
      </c>
      <c r="I135" s="190">
        <f t="shared" si="157"/>
        <v>40620</v>
      </c>
      <c r="J135" s="190">
        <f t="shared" si="157"/>
        <v>43620</v>
      </c>
      <c r="K135" s="190">
        <f t="shared" si="157"/>
        <v>46620</v>
      </c>
      <c r="L135" s="190">
        <f t="shared" si="157"/>
        <v>49620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26340</v>
      </c>
      <c r="F136" s="239">
        <f t="shared" si="158"/>
        <v>30060</v>
      </c>
      <c r="G136" s="239">
        <f t="shared" si="158"/>
        <v>33840</v>
      </c>
      <c r="H136" s="239">
        <f t="shared" si="158"/>
        <v>37560</v>
      </c>
      <c r="I136" s="239">
        <f t="shared" si="158"/>
        <v>40620</v>
      </c>
      <c r="J136" s="239">
        <f t="shared" si="158"/>
        <v>43620</v>
      </c>
      <c r="K136" s="239">
        <f t="shared" si="158"/>
        <v>46620</v>
      </c>
      <c r="L136" s="239">
        <f t="shared" si="158"/>
        <v>49620</v>
      </c>
      <c r="N136" s="108" t="str">
        <f>CONCATENATE(AU23,$B$11)</f>
        <v>4/21/2015 - 3/27/2016Grayson</v>
      </c>
      <c r="P136" s="226">
        <f>VLOOKUP($N136,'2015 MTSP Limits'!$A$4:$T$257,E$122+12,FALSE)</f>
        <v>26100</v>
      </c>
      <c r="Q136" s="226">
        <f>VLOOKUP($N136,'2015 MTSP Limits'!$A$4:$T$257,F$122+12,FALSE)</f>
        <v>29820</v>
      </c>
      <c r="R136" s="226">
        <f>VLOOKUP($N136,'2015 MTSP Limits'!$A$4:$T$257,G$122+12,FALSE)</f>
        <v>33540</v>
      </c>
      <c r="S136" s="226">
        <f>VLOOKUP($N136,'2015 MTSP Limits'!$A$4:$T$257,H$122+12,FALSE)</f>
        <v>37260</v>
      </c>
      <c r="T136" s="226">
        <f>VLOOKUP($N136,'2015 MTSP Limits'!$A$4:$T$257,I$122+12,FALSE)</f>
        <v>40260</v>
      </c>
      <c r="U136" s="226">
        <f>VLOOKUP($N136,'2015 MTSP Limits'!$A$4:$T$257,J$122+12,FALSE)</f>
        <v>43260</v>
      </c>
      <c r="V136" s="226">
        <f>VLOOKUP($N136,'2015 MTSP Limits'!$A$4:$T$257,K$122+12,FALSE)</f>
        <v>46260</v>
      </c>
      <c r="W136" s="226">
        <f>VLOOKUP($N136,'2015 MTSP Limits'!$A$4:$T$257,L$122+12,FALSE)</f>
        <v>49200</v>
      </c>
      <c r="Y136" s="226">
        <f>IF($B$18=$AU$10,VLOOKUP($N136,'2015 MTSP Limits'!$A$4:$AK$257,E$100+29,FALSE),0)</f>
        <v>26340</v>
      </c>
      <c r="Z136" s="226">
        <f>IF($B$18=$AU$10,VLOOKUP($N136,'2015 MTSP Limits'!$A$4:$AK$257,F$100+29,FALSE),0)</f>
        <v>30060</v>
      </c>
      <c r="AA136" s="226">
        <f>IF($B$18=$AU$10,VLOOKUP($N136,'2015 MTSP Limits'!$A$4:$AK$257,G$100+29,FALSE),0)</f>
        <v>33840</v>
      </c>
      <c r="AB136" s="226">
        <f>IF($B$18=$AU$10,VLOOKUP($N136,'2015 MTSP Limits'!$A$4:$AK$257,H$100+29,FALSE),0)</f>
        <v>37560</v>
      </c>
      <c r="AC136" s="226">
        <f>IF($B$18=$AU$10,VLOOKUP($N136,'2015 MTSP Limits'!$A$4:$AK$257,I$100+29,FALSE),0)</f>
        <v>40620</v>
      </c>
      <c r="AD136" s="226">
        <f>IF($B$18=$AU$10,VLOOKUP($N136,'2015 MTSP Limits'!$A$4:$AK$257,J$100+29,FALSE),0)</f>
        <v>43620</v>
      </c>
      <c r="AE136" s="226">
        <f>IF($B$18=$AU$10,VLOOKUP($N136,'2015 MTSP Limits'!$A$4:$AK$257,K$100+29,FALSE),0)</f>
        <v>46620</v>
      </c>
      <c r="AF136" s="226">
        <f>IF($B$18=$AU$10,VLOOKUP($N136,'2015 MTSP Limits'!$A$4:$AK$257,L$100+29,FALSE),0)</f>
        <v>49620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26340</v>
      </c>
      <c r="F137" s="190">
        <f t="shared" ref="F137:L137" si="159">+MAX(F136,F138)</f>
        <v>30060</v>
      </c>
      <c r="G137" s="190">
        <f t="shared" si="159"/>
        <v>33840</v>
      </c>
      <c r="H137" s="190">
        <f t="shared" si="159"/>
        <v>37560</v>
      </c>
      <c r="I137" s="190">
        <f t="shared" si="159"/>
        <v>40620</v>
      </c>
      <c r="J137" s="190">
        <f t="shared" si="159"/>
        <v>43620</v>
      </c>
      <c r="K137" s="190">
        <f t="shared" si="159"/>
        <v>46620</v>
      </c>
      <c r="L137" s="190">
        <f t="shared" si="159"/>
        <v>49620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26340</v>
      </c>
      <c r="F138" s="239">
        <f t="shared" si="160"/>
        <v>30060</v>
      </c>
      <c r="G138" s="239">
        <f t="shared" si="160"/>
        <v>33840</v>
      </c>
      <c r="H138" s="239">
        <f t="shared" si="160"/>
        <v>37560</v>
      </c>
      <c r="I138" s="239">
        <f t="shared" si="160"/>
        <v>40620</v>
      </c>
      <c r="J138" s="239">
        <f t="shared" si="160"/>
        <v>43620</v>
      </c>
      <c r="K138" s="239">
        <f t="shared" si="160"/>
        <v>46620</v>
      </c>
      <c r="L138" s="239">
        <f t="shared" si="160"/>
        <v>49620</v>
      </c>
      <c r="N138" s="108" t="str">
        <f>CONCATENATE(AU25,$B$11)</f>
        <v>5/13/2016 - 4/13/2017Grayson</v>
      </c>
      <c r="P138" s="226">
        <f>VLOOKUP($N138,MTSP2016!$A$4:$T$257,E$122+12,FALSE)</f>
        <v>24780</v>
      </c>
      <c r="Q138" s="226">
        <f>VLOOKUP($N138,MTSP2016!$A$4:$T$257,F$122+12,FALSE)</f>
        <v>28320</v>
      </c>
      <c r="R138" s="226">
        <f>VLOOKUP($N138,MTSP2016!$A$4:$T$257,G$122+12,FALSE)</f>
        <v>31860</v>
      </c>
      <c r="S138" s="226">
        <f>VLOOKUP($N138,MTSP2016!$A$4:$T$257,H$122+12,FALSE)</f>
        <v>35400</v>
      </c>
      <c r="T138" s="226">
        <f>VLOOKUP($N138,MTSP2016!$A$4:$T$257,I$122+12,FALSE)</f>
        <v>38280</v>
      </c>
      <c r="U138" s="226">
        <f>VLOOKUP($N138,MTSP2016!$A$4:$T$257,J$122+12,FALSE)</f>
        <v>41100</v>
      </c>
      <c r="V138" s="226">
        <f>VLOOKUP($N138,MTSP2016!$A$4:$T$257,K$122+12,FALSE)</f>
        <v>43920</v>
      </c>
      <c r="W138" s="226">
        <f>VLOOKUP($N138,MTSP2016!$A$4:$T$257,L$122+12,FALSE)</f>
        <v>46740</v>
      </c>
      <c r="X138" s="241"/>
      <c r="Y138" s="226">
        <f>IF($B$18=$AU$10,VLOOKUP($N138,MTSP2016!$A$4:$AK$257,E$100+29,FALSE),0)</f>
        <v>26340</v>
      </c>
      <c r="Z138" s="226">
        <f>IF($B$18=$AU$10,VLOOKUP($N138,MTSP2016!$A$4:$AK$257,F$100+29,FALSE),0)</f>
        <v>30060</v>
      </c>
      <c r="AA138" s="226">
        <f>IF($B$18=$AU$10,VLOOKUP($N138,MTSP2016!$A$4:$AK$257,G$100+29,FALSE),0)</f>
        <v>33840</v>
      </c>
      <c r="AB138" s="226">
        <f>IF($B$18=$AU$10,VLOOKUP($N138,MTSP2016!$A$4:$AK$257,H$100+29,FALSE),0)</f>
        <v>37560</v>
      </c>
      <c r="AC138" s="226">
        <f>IF($B$18=$AU$10,VLOOKUP($N138,MTSP2016!$A$4:$AK$257,I$100+29,FALSE),0)</f>
        <v>40620</v>
      </c>
      <c r="AD138" s="226">
        <f>IF($B$18=$AU$10,VLOOKUP($N138,MTSP2016!$A$4:$AK$257,J$100+29,FALSE),0)</f>
        <v>43620</v>
      </c>
      <c r="AE138" s="226">
        <f>IF($B$18=$AU$10,VLOOKUP($N138,MTSP2016!$A$4:$AK$257,K$100+29,FALSE),0)</f>
        <v>46620</v>
      </c>
      <c r="AF138" s="226">
        <f>IF($B$18=$AU$10,VLOOKUP($N138,MTSP2016!$A$4:$AK$257,L$100+29,FALSE),0)</f>
        <v>49620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28020</v>
      </c>
      <c r="F139" s="224">
        <f t="shared" ref="F139:L141" si="162">+MAX(F138,F140)</f>
        <v>32040</v>
      </c>
      <c r="G139" s="224">
        <f t="shared" si="162"/>
        <v>36060</v>
      </c>
      <c r="H139" s="224">
        <f t="shared" si="162"/>
        <v>40020</v>
      </c>
      <c r="I139" s="224">
        <f t="shared" si="162"/>
        <v>43260</v>
      </c>
      <c r="J139" s="224">
        <f t="shared" si="162"/>
        <v>46440</v>
      </c>
      <c r="K139" s="224">
        <f t="shared" si="162"/>
        <v>49680</v>
      </c>
      <c r="L139" s="224">
        <f t="shared" si="162"/>
        <v>52860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28020</v>
      </c>
      <c r="F140" s="187">
        <f t="shared" ref="F140:L140" si="164">+MAX(Q140,Z140,AJ140)</f>
        <v>32040</v>
      </c>
      <c r="G140" s="187">
        <f t="shared" si="164"/>
        <v>36060</v>
      </c>
      <c r="H140" s="187">
        <f t="shared" si="164"/>
        <v>40020</v>
      </c>
      <c r="I140" s="187">
        <f t="shared" si="164"/>
        <v>43260</v>
      </c>
      <c r="J140" s="187">
        <f t="shared" si="164"/>
        <v>46440</v>
      </c>
      <c r="K140" s="187">
        <f t="shared" si="164"/>
        <v>49680</v>
      </c>
      <c r="L140" s="187">
        <f t="shared" si="164"/>
        <v>52860</v>
      </c>
      <c r="N140" s="269" t="str">
        <f>CONCATENATE(AU27,$B$11)</f>
        <v>5/30/2017 - 3/31/2018Grayson</v>
      </c>
      <c r="P140" s="226">
        <f>VLOOKUP(N140,MTSP2017!A4:T257,E$122+12,FALSE)</f>
        <v>26520</v>
      </c>
      <c r="Q140" s="226">
        <f>VLOOKUP(N140,MTSP2017!A4:T257,F$122+12,FALSE)</f>
        <v>30300</v>
      </c>
      <c r="R140" s="226">
        <f>VLOOKUP(N140,MTSP2017!A4:T257,G$122+12,FALSE)</f>
        <v>34080</v>
      </c>
      <c r="S140" s="226">
        <f>VLOOKUP(N140,MTSP2017!A4:T257,H$122+12,FALSE)</f>
        <v>37860</v>
      </c>
      <c r="T140" s="226">
        <f>VLOOKUP(N140,MTSP2017!A4:T257,I$122+12,FALSE)</f>
        <v>40920</v>
      </c>
      <c r="U140" s="226">
        <f>VLOOKUP(N140,MTSP2017!A4:T257,J$122+12,FALSE)</f>
        <v>43920</v>
      </c>
      <c r="V140" s="226">
        <f>VLOOKUP(N140,MTSP2017!A4:T257,K$122+12,FALSE)</f>
        <v>46980</v>
      </c>
      <c r="W140" s="226">
        <f>VLOOKUP(N140,MTSP2017!A4:T257,L$122+12,FALSE)</f>
        <v>49980</v>
      </c>
      <c r="Y140" s="226">
        <f>IF($B$18=$AU$10,VLOOKUP($N140,MTSP2017!A4:AK257,E$100+29,FALSE),0)</f>
        <v>28020</v>
      </c>
      <c r="Z140" s="226">
        <f>IF($B$18=$AU$10,VLOOKUP($N140,MTSP2017!A4:AK257,F$100+29,FALSE),0)</f>
        <v>32040</v>
      </c>
      <c r="AA140" s="226">
        <f>IF($B$18=$AU$10,VLOOKUP($N140,MTSP2017!A4:AK257,G$100+29,FALSE),0)</f>
        <v>36060</v>
      </c>
      <c r="AB140" s="226">
        <f>IF($B$18=$AU$10,VLOOKUP($N140,MTSP2017!A4:AK257,H$100+29,FALSE),0)</f>
        <v>40020</v>
      </c>
      <c r="AC140" s="226">
        <f>IF($B$18=$AU$10,VLOOKUP($N140,MTSP2017!A4:AK257,I$100+29,FALSE),0)</f>
        <v>43260</v>
      </c>
      <c r="AD140" s="226">
        <f>IF($B$18=$AU$10,VLOOKUP($N140,MTSP2017!A4:AK257,J$100+29,FALSE),0)</f>
        <v>46440</v>
      </c>
      <c r="AE140" s="226">
        <f>IF($B$18=$AU$10,VLOOKUP($N140,MTSP2017!A4:AK257,K$100+29,FALSE),0)</f>
        <v>49680</v>
      </c>
      <c r="AF140" s="226">
        <f>IF($B$18=$AU$10,VLOOKUP($N140,MTSP2017!A4:AK257,L$100+29,FALSE),0)</f>
        <v>52860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28020</v>
      </c>
      <c r="F141" s="224">
        <f t="shared" si="162"/>
        <v>32040</v>
      </c>
      <c r="G141" s="224">
        <f t="shared" si="162"/>
        <v>36060</v>
      </c>
      <c r="H141" s="224">
        <f t="shared" si="162"/>
        <v>40020</v>
      </c>
      <c r="I141" s="224">
        <f t="shared" si="162"/>
        <v>43260</v>
      </c>
      <c r="J141" s="224">
        <f t="shared" si="162"/>
        <v>46440</v>
      </c>
      <c r="K141" s="224">
        <f t="shared" si="162"/>
        <v>49680</v>
      </c>
      <c r="L141" s="224">
        <f t="shared" si="162"/>
        <v>52860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28020</v>
      </c>
      <c r="F142" s="187">
        <f t="shared" ref="F142" si="168">+MAX(Q142,Z142,AJ142)</f>
        <v>32040</v>
      </c>
      <c r="G142" s="187">
        <f t="shared" ref="G142" si="169">+MAX(R142,AA142,AK142)</f>
        <v>36060</v>
      </c>
      <c r="H142" s="187">
        <f t="shared" ref="H142" si="170">+MAX(S142,AB142,AL142)</f>
        <v>40020</v>
      </c>
      <c r="I142" s="187">
        <f t="shared" ref="I142" si="171">+MAX(T142,AC142,AM142)</f>
        <v>43260</v>
      </c>
      <c r="J142" s="187">
        <f t="shared" ref="J142" si="172">+MAX(U142,AD142,AN142)</f>
        <v>46440</v>
      </c>
      <c r="K142" s="187">
        <f t="shared" ref="K142" si="173">+MAX(V142,AE142,AO142)</f>
        <v>49680</v>
      </c>
      <c r="L142" s="187">
        <f t="shared" ref="L142" si="174">+MAX(W142,AF142,AP142)</f>
        <v>52860</v>
      </c>
      <c r="N142" s="269" t="str">
        <f>CONCATENATE(AU29,$B$11)</f>
        <v>On or After 5/17/2018Grayson</v>
      </c>
      <c r="P142" s="226">
        <f>INDEX(MTSP2018!M3:M257,MATCH('Income-Rent Tool'!$N$142,MTSP2018!$A$3:$A$257,0))</f>
        <v>27420</v>
      </c>
      <c r="Q142" s="226">
        <f>INDEX(MTSP2018!N3:N257,MATCH('Income-Rent Tool'!$N$142,MTSP2018!$A$3:$A$257,0))</f>
        <v>31320</v>
      </c>
      <c r="R142" s="226">
        <f>INDEX(MTSP2018!O3:O257,MATCH('Income-Rent Tool'!$N$142,MTSP2018!$A$3:$A$257,0))</f>
        <v>35220</v>
      </c>
      <c r="S142" s="226">
        <f>INDEX(MTSP2018!P3:P257,MATCH('Income-Rent Tool'!$N$142,MTSP2018!$A$3:$A$257,0))</f>
        <v>39120</v>
      </c>
      <c r="T142" s="226">
        <f>INDEX(MTSP2018!Q3:Q257,MATCH('Income-Rent Tool'!$N$142,MTSP2018!$A$3:$A$257,0))</f>
        <v>42300</v>
      </c>
      <c r="U142" s="226">
        <f>INDEX(MTSP2018!R3:R257,MATCH('Income-Rent Tool'!$N$142,MTSP2018!$A$3:$A$257,0))</f>
        <v>45420</v>
      </c>
      <c r="V142" s="226">
        <f>INDEX(MTSP2018!S3:S257,MATCH('Income-Rent Tool'!$N$142,MTSP2018!$A$3:$A$257,0))</f>
        <v>48540</v>
      </c>
      <c r="W142" s="226">
        <f>INDEX(MTSP2018!T3:T257,MATCH('Income-Rent Tool'!$N$142,MTSP2018!$A$3:$A$257,0))</f>
        <v>51660</v>
      </c>
      <c r="Y142" s="226">
        <f>IF($B$18=$AU$10,VLOOKUP($N142,MTSP2018!$A$3:$AR$257,E$100+29,FALSE),0)</f>
        <v>28020</v>
      </c>
      <c r="Z142" s="226">
        <f>IF($B$18=$AU$10,VLOOKUP($N142,MTSP2018!$A$3:$AR$257,F$100+29,FALSE),0)</f>
        <v>32040</v>
      </c>
      <c r="AA142" s="226">
        <f>IF($B$18=$AU$10,VLOOKUP($N142,MTSP2018!$A$3:$AR$257,G$100+29,FALSE),0)</f>
        <v>36060</v>
      </c>
      <c r="AB142" s="226">
        <f>IF($B$18=$AU$10,VLOOKUP($N142,MTSP2018!$A$3:$AR$257,H$100+29,FALSE),0)</f>
        <v>40020</v>
      </c>
      <c r="AC142" s="226">
        <f>IF($B$18=$AU$10,VLOOKUP($N142,MTSP2018!$A$3:$AR$257,I$100+29,FALSE),0)</f>
        <v>43260</v>
      </c>
      <c r="AD142" s="226">
        <f>IF($B$18=$AU$10,VLOOKUP($N142,MTSP2018!$A$3:$AR$257,J$100+29,FALSE),0)</f>
        <v>46440</v>
      </c>
      <c r="AE142" s="226">
        <f>IF($B$18=$AU$10,VLOOKUP($N142,MTSP2018!$A$3:$AR$257,K$100+29,FALSE),0)</f>
        <v>49680</v>
      </c>
      <c r="AF142" s="226">
        <f>IF($B$18=$AU$10,VLOOKUP($N142,MTSP2018!$A$3:$AR$257,L$100+29,FALSE),0)</f>
        <v>52860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41" t="s">
        <v>1415</v>
      </c>
      <c r="Q144" s="341"/>
      <c r="R144" s="341"/>
      <c r="S144" s="341"/>
      <c r="T144" s="341"/>
      <c r="U144" s="341"/>
      <c r="V144" s="341"/>
      <c r="W144" s="341"/>
      <c r="Y144" s="339" t="s">
        <v>1416</v>
      </c>
      <c r="Z144" s="339"/>
      <c r="AA144" s="339"/>
      <c r="AB144" s="339"/>
      <c r="AC144" s="339"/>
      <c r="AD144" s="339"/>
      <c r="AE144" s="339"/>
      <c r="AF144" s="339"/>
      <c r="AI144" s="335" t="s">
        <v>1417</v>
      </c>
      <c r="AJ144" s="335"/>
      <c r="AK144" s="335"/>
      <c r="AL144" s="335"/>
      <c r="AM144" s="335"/>
      <c r="AN144" s="335"/>
      <c r="AO144" s="335"/>
      <c r="AP144" s="335"/>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32400</v>
      </c>
      <c r="F145" s="112">
        <f t="shared" si="178"/>
        <v>37040</v>
      </c>
      <c r="G145" s="112">
        <f t="shared" si="178"/>
        <v>41680</v>
      </c>
      <c r="H145" s="112">
        <f t="shared" si="178"/>
        <v>46320</v>
      </c>
      <c r="I145" s="112">
        <f t="shared" si="178"/>
        <v>50000</v>
      </c>
      <c r="J145" s="112">
        <f t="shared" si="178"/>
        <v>53760</v>
      </c>
      <c r="K145" s="112">
        <f t="shared" si="178"/>
        <v>57440</v>
      </c>
      <c r="L145" s="112">
        <f t="shared" si="178"/>
        <v>61120</v>
      </c>
      <c r="N145" s="104" t="str">
        <f>CONCATENATE($AU$10,$B$11,$N$144)</f>
        <v>Before 12-31-2008Grayson80</v>
      </c>
      <c r="P145" s="221">
        <f>VLOOKUP($N145,'pre 12-31-08'!$A$4:$L$1400,E$144+3,FALSE)</f>
        <v>32400</v>
      </c>
      <c r="Q145" s="221">
        <f>VLOOKUP($N145,'pre 12-31-08'!$A$4:$L$1400,F$144+3,FALSE)</f>
        <v>37040</v>
      </c>
      <c r="R145" s="221">
        <f>VLOOKUP($N145,'pre 12-31-08'!$A$4:$L$1400,G$144+3,FALSE)</f>
        <v>41680</v>
      </c>
      <c r="S145" s="221">
        <f>VLOOKUP($N145,'pre 12-31-08'!$A$4:$L$1400,H$144+3,FALSE)</f>
        <v>46320</v>
      </c>
      <c r="T145" s="221">
        <f>VLOOKUP($N145,'pre 12-31-08'!$A$4:$L$1400,I$144+3,FALSE)</f>
        <v>50000</v>
      </c>
      <c r="U145" s="221">
        <f>VLOOKUP($N145,'pre 12-31-08'!$A$4:$L$1400,J$144+3,FALSE)</f>
        <v>53760</v>
      </c>
      <c r="V145" s="221">
        <f>VLOOKUP($N145,'pre 12-31-08'!$A$4:$L$1400,K$144+3,FALSE)</f>
        <v>57440</v>
      </c>
      <c r="W145" s="221">
        <f>VLOOKUP($N145,'pre 12-31-08'!$A$4:$L$1400,L$144+3,FALSE)</f>
        <v>61120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32320</v>
      </c>
      <c r="F146" s="112">
        <f t="shared" si="178"/>
        <v>36880</v>
      </c>
      <c r="G146" s="112">
        <f t="shared" si="178"/>
        <v>41520</v>
      </c>
      <c r="H146" s="112">
        <f t="shared" si="178"/>
        <v>46080</v>
      </c>
      <c r="I146" s="112">
        <f t="shared" si="178"/>
        <v>49840</v>
      </c>
      <c r="J146" s="112">
        <f t="shared" si="178"/>
        <v>53520</v>
      </c>
      <c r="K146" s="112">
        <f t="shared" si="178"/>
        <v>57200</v>
      </c>
      <c r="L146" s="112">
        <f t="shared" si="178"/>
        <v>60880</v>
      </c>
      <c r="N146" s="104" t="str">
        <f>CONCATENATE($AU$11,$B$11,$N$144)</f>
        <v>1/1/2009 - 5/13/2010Grayson80</v>
      </c>
      <c r="P146" s="221">
        <f>VLOOKUP($N146,'1-1-09-5-14-10'!$A$4:$L$1400,E$144+3,FALSE)</f>
        <v>32320</v>
      </c>
      <c r="Q146" s="221">
        <f>VLOOKUP($N146,'1-1-09-5-14-10'!$A$4:$L$1400,F$144+3,FALSE)</f>
        <v>36880</v>
      </c>
      <c r="R146" s="221">
        <f>VLOOKUP($N146,'1-1-09-5-14-10'!$A$4:$L$1400,G$144+3,FALSE)</f>
        <v>41520</v>
      </c>
      <c r="S146" s="221">
        <f>VLOOKUP($N146,'1-1-09-5-14-10'!$A$4:$L$1400,H$144+3,FALSE)</f>
        <v>46080</v>
      </c>
      <c r="T146" s="221">
        <f>VLOOKUP($N146,'1-1-09-5-14-10'!$A$4:$L$1400,I$144+3,FALSE)</f>
        <v>49840</v>
      </c>
      <c r="U146" s="221">
        <f>VLOOKUP($N146,'1-1-09-5-14-10'!$A$4:$L$1400,J$144+3,FALSE)</f>
        <v>53520</v>
      </c>
      <c r="V146" s="221">
        <f>VLOOKUP($N146,'1-1-09-5-14-10'!$A$4:$L$1400,K$144+3,FALSE)</f>
        <v>57200</v>
      </c>
      <c r="W146" s="221">
        <f>VLOOKUP($N146,'1-1-09-5-14-10'!$A$4:$L$1400,L$144+3,FALSE)</f>
        <v>60880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32320</v>
      </c>
      <c r="F147" s="190">
        <f t="shared" si="181"/>
        <v>36880</v>
      </c>
      <c r="G147" s="190">
        <f t="shared" si="181"/>
        <v>41520</v>
      </c>
      <c r="H147" s="190">
        <f t="shared" si="181"/>
        <v>46080</v>
      </c>
      <c r="I147" s="190">
        <f t="shared" si="181"/>
        <v>49840</v>
      </c>
      <c r="J147" s="190">
        <f t="shared" si="181"/>
        <v>53520</v>
      </c>
      <c r="K147" s="190">
        <f t="shared" si="181"/>
        <v>57200</v>
      </c>
      <c r="L147" s="190">
        <f t="shared" si="181"/>
        <v>60880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32320</v>
      </c>
      <c r="F148" s="112">
        <f t="shared" si="178"/>
        <v>36880</v>
      </c>
      <c r="G148" s="112">
        <f t="shared" si="178"/>
        <v>41520</v>
      </c>
      <c r="H148" s="112">
        <f t="shared" si="178"/>
        <v>46080</v>
      </c>
      <c r="I148" s="112">
        <f t="shared" si="178"/>
        <v>49840</v>
      </c>
      <c r="J148" s="112">
        <f t="shared" si="178"/>
        <v>53520</v>
      </c>
      <c r="K148" s="112">
        <f t="shared" si="178"/>
        <v>57200</v>
      </c>
      <c r="L148" s="112">
        <f t="shared" si="178"/>
        <v>60880</v>
      </c>
      <c r="N148" s="104" t="str">
        <f>CONCATENATE($AU$13,$B$11,$N$144)</f>
        <v>6/29/2010 - 5/30/2011Grayson80</v>
      </c>
      <c r="P148" s="221">
        <f>VLOOKUP($N148,'5-14-10-5-31-11'!$A$4:$L$1400,E$144+3,FALSE)</f>
        <v>32320</v>
      </c>
      <c r="Q148" s="221">
        <f>VLOOKUP($N148,'5-14-10-5-31-11'!$A$4:$L$1400,F$144+3,FALSE)</f>
        <v>36880</v>
      </c>
      <c r="R148" s="221">
        <f>VLOOKUP($N148,'5-14-10-5-31-11'!$A$4:$L$1400,G$144+3,FALSE)</f>
        <v>41520</v>
      </c>
      <c r="S148" s="221">
        <f>VLOOKUP($N148,'5-14-10-5-31-11'!$A$4:$L$1400,H$144+3,FALSE)</f>
        <v>46080</v>
      </c>
      <c r="T148" s="221">
        <f>VLOOKUP($N148,'5-14-10-5-31-11'!$A$4:$L$1400,I$144+3,FALSE)</f>
        <v>49840</v>
      </c>
      <c r="U148" s="221">
        <f>VLOOKUP($N148,'5-14-10-5-31-11'!$A$4:$L$1400,J$144+3,FALSE)</f>
        <v>53520</v>
      </c>
      <c r="V148" s="221">
        <f>VLOOKUP($N148,'5-14-10-5-31-11'!$A$4:$L$1400,K$144+3,FALSE)</f>
        <v>57200</v>
      </c>
      <c r="W148" s="221">
        <f>VLOOKUP($N148,'5-14-10-5-31-11'!$A$4:$L$1400,L$144+3,FALSE)</f>
        <v>60880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33040</v>
      </c>
      <c r="F149" s="190">
        <f t="shared" si="183"/>
        <v>37760</v>
      </c>
      <c r="G149" s="190">
        <f t="shared" si="183"/>
        <v>42480</v>
      </c>
      <c r="H149" s="190">
        <f t="shared" si="183"/>
        <v>47200</v>
      </c>
      <c r="I149" s="190">
        <f t="shared" si="183"/>
        <v>51040</v>
      </c>
      <c r="J149" s="190">
        <f t="shared" si="183"/>
        <v>54800</v>
      </c>
      <c r="K149" s="190">
        <f t="shared" si="183"/>
        <v>58560</v>
      </c>
      <c r="L149" s="190">
        <f t="shared" si="183"/>
        <v>62320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33040</v>
      </c>
      <c r="F150" s="112">
        <f t="shared" si="178"/>
        <v>37760</v>
      </c>
      <c r="G150" s="112">
        <f t="shared" si="178"/>
        <v>42480</v>
      </c>
      <c r="H150" s="112">
        <f t="shared" si="178"/>
        <v>47200</v>
      </c>
      <c r="I150" s="112">
        <f t="shared" si="178"/>
        <v>51040</v>
      </c>
      <c r="J150" s="112">
        <f t="shared" si="178"/>
        <v>54800</v>
      </c>
      <c r="K150" s="112">
        <f t="shared" si="178"/>
        <v>58560</v>
      </c>
      <c r="L150" s="112">
        <f t="shared" si="178"/>
        <v>62320</v>
      </c>
      <c r="N150" s="188" t="s">
        <v>2106</v>
      </c>
      <c r="P150" s="221">
        <f>+P106/5*8</f>
        <v>33040</v>
      </c>
      <c r="Q150" s="221">
        <f t="shared" ref="Q150:W150" si="184">+Q106/5*8</f>
        <v>37760</v>
      </c>
      <c r="R150" s="221">
        <f t="shared" si="184"/>
        <v>42480</v>
      </c>
      <c r="S150" s="221">
        <f t="shared" si="184"/>
        <v>47200</v>
      </c>
      <c r="T150" s="221">
        <f t="shared" si="184"/>
        <v>51040</v>
      </c>
      <c r="U150" s="221">
        <f t="shared" si="184"/>
        <v>54800</v>
      </c>
      <c r="V150" s="221">
        <f t="shared" si="184"/>
        <v>58560</v>
      </c>
      <c r="W150" s="221">
        <f t="shared" si="184"/>
        <v>62320</v>
      </c>
      <c r="Y150" s="221">
        <f t="shared" ref="Y150:AF150" si="185">+Y106/5*8</f>
        <v>0</v>
      </c>
      <c r="Z150" s="221">
        <f t="shared" si="185"/>
        <v>0</v>
      </c>
      <c r="AA150" s="221">
        <f t="shared" si="185"/>
        <v>0</v>
      </c>
      <c r="AB150" s="221">
        <f t="shared" si="185"/>
        <v>0</v>
      </c>
      <c r="AC150" s="221">
        <f t="shared" si="185"/>
        <v>0</v>
      </c>
      <c r="AD150" s="221">
        <f t="shared" si="185"/>
        <v>0</v>
      </c>
      <c r="AE150" s="221">
        <f t="shared" si="185"/>
        <v>0</v>
      </c>
      <c r="AF150" s="221">
        <f t="shared" si="185"/>
        <v>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33520</v>
      </c>
      <c r="F151" s="190">
        <f t="shared" si="187"/>
        <v>38320</v>
      </c>
      <c r="G151" s="190">
        <f t="shared" si="187"/>
        <v>43120</v>
      </c>
      <c r="H151" s="190">
        <f t="shared" si="187"/>
        <v>47840</v>
      </c>
      <c r="I151" s="190">
        <f t="shared" si="187"/>
        <v>51680</v>
      </c>
      <c r="J151" s="190">
        <f t="shared" si="187"/>
        <v>55520</v>
      </c>
      <c r="K151" s="190">
        <f t="shared" si="187"/>
        <v>59360</v>
      </c>
      <c r="L151" s="190">
        <f t="shared" si="187"/>
        <v>63200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33520</v>
      </c>
      <c r="F152" s="112">
        <f t="shared" si="178"/>
        <v>38320</v>
      </c>
      <c r="G152" s="112">
        <f t="shared" si="178"/>
        <v>43120</v>
      </c>
      <c r="H152" s="112">
        <f t="shared" si="178"/>
        <v>47840</v>
      </c>
      <c r="I152" s="112">
        <f t="shared" si="178"/>
        <v>51680</v>
      </c>
      <c r="J152" s="112">
        <f t="shared" si="178"/>
        <v>55520</v>
      </c>
      <c r="K152" s="112">
        <f t="shared" si="178"/>
        <v>59360</v>
      </c>
      <c r="L152" s="112">
        <f t="shared" si="178"/>
        <v>63200</v>
      </c>
      <c r="N152" s="188" t="s">
        <v>2108</v>
      </c>
      <c r="P152" s="221">
        <f t="shared" ref="P152:W152" si="188">+P108/5*8</f>
        <v>33520</v>
      </c>
      <c r="Q152" s="221">
        <f t="shared" si="188"/>
        <v>38320</v>
      </c>
      <c r="R152" s="221">
        <f t="shared" si="188"/>
        <v>43120</v>
      </c>
      <c r="S152" s="221">
        <f t="shared" si="188"/>
        <v>47840</v>
      </c>
      <c r="T152" s="221">
        <f t="shared" si="188"/>
        <v>51680</v>
      </c>
      <c r="U152" s="221">
        <f t="shared" si="188"/>
        <v>55520</v>
      </c>
      <c r="V152" s="221">
        <f t="shared" si="188"/>
        <v>59360</v>
      </c>
      <c r="W152" s="221">
        <f t="shared" si="188"/>
        <v>63200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34560</v>
      </c>
      <c r="F153" s="190">
        <f t="shared" si="191"/>
        <v>39520</v>
      </c>
      <c r="G153" s="190">
        <f t="shared" si="191"/>
        <v>44480</v>
      </c>
      <c r="H153" s="190">
        <f t="shared" si="191"/>
        <v>49360</v>
      </c>
      <c r="I153" s="190">
        <f t="shared" si="191"/>
        <v>53360</v>
      </c>
      <c r="J153" s="190">
        <f t="shared" si="191"/>
        <v>57280</v>
      </c>
      <c r="K153" s="190">
        <f t="shared" si="191"/>
        <v>61280</v>
      </c>
      <c r="L153" s="190">
        <f t="shared" si="191"/>
        <v>65200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34560</v>
      </c>
      <c r="F154" s="112">
        <f t="shared" si="178"/>
        <v>39520</v>
      </c>
      <c r="G154" s="112">
        <f t="shared" si="178"/>
        <v>44480</v>
      </c>
      <c r="H154" s="112">
        <f t="shared" si="178"/>
        <v>49360</v>
      </c>
      <c r="I154" s="112">
        <f t="shared" si="178"/>
        <v>53360</v>
      </c>
      <c r="J154" s="112">
        <f t="shared" si="178"/>
        <v>57280</v>
      </c>
      <c r="K154" s="112">
        <f t="shared" si="178"/>
        <v>61280</v>
      </c>
      <c r="L154" s="112">
        <f t="shared" si="178"/>
        <v>65200</v>
      </c>
      <c r="N154" s="188" t="s">
        <v>2126</v>
      </c>
      <c r="P154" s="221">
        <f t="shared" ref="P154:W154" si="192">+P110/5*8</f>
        <v>34560</v>
      </c>
      <c r="Q154" s="221">
        <f t="shared" si="192"/>
        <v>39520</v>
      </c>
      <c r="R154" s="221">
        <f t="shared" si="192"/>
        <v>44480</v>
      </c>
      <c r="S154" s="221">
        <f t="shared" si="192"/>
        <v>49360</v>
      </c>
      <c r="T154" s="221">
        <f t="shared" si="192"/>
        <v>53360</v>
      </c>
      <c r="U154" s="221">
        <f t="shared" si="192"/>
        <v>57280</v>
      </c>
      <c r="V154" s="221">
        <f t="shared" si="192"/>
        <v>61280</v>
      </c>
      <c r="W154" s="221">
        <f t="shared" si="192"/>
        <v>65200</v>
      </c>
      <c r="Y154" s="221">
        <f t="shared" ref="Y154:AF154" si="193">+Y110/5*8</f>
        <v>0</v>
      </c>
      <c r="Z154" s="221">
        <f t="shared" si="193"/>
        <v>0</v>
      </c>
      <c r="AA154" s="221">
        <f t="shared" si="193"/>
        <v>0</v>
      </c>
      <c r="AB154" s="221">
        <f t="shared" si="193"/>
        <v>0</v>
      </c>
      <c r="AC154" s="221">
        <f t="shared" si="193"/>
        <v>0</v>
      </c>
      <c r="AD154" s="221">
        <f t="shared" si="193"/>
        <v>0</v>
      </c>
      <c r="AE154" s="221">
        <f t="shared" si="193"/>
        <v>0</v>
      </c>
      <c r="AF154" s="221">
        <f t="shared" si="193"/>
        <v>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34560</v>
      </c>
      <c r="F155" s="190">
        <f t="shared" si="196"/>
        <v>39520</v>
      </c>
      <c r="G155" s="190">
        <f t="shared" si="196"/>
        <v>44480</v>
      </c>
      <c r="H155" s="190">
        <f t="shared" si="196"/>
        <v>49360</v>
      </c>
      <c r="I155" s="190">
        <f t="shared" si="196"/>
        <v>53360</v>
      </c>
      <c r="J155" s="190">
        <f t="shared" si="196"/>
        <v>57280</v>
      </c>
      <c r="K155" s="190">
        <f t="shared" si="196"/>
        <v>61280</v>
      </c>
      <c r="L155" s="190">
        <f t="shared" si="196"/>
        <v>65200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34560</v>
      </c>
      <c r="F156" s="112">
        <f t="shared" si="197"/>
        <v>39520</v>
      </c>
      <c r="G156" s="112">
        <f t="shared" si="197"/>
        <v>44480</v>
      </c>
      <c r="H156" s="112">
        <f t="shared" si="197"/>
        <v>49360</v>
      </c>
      <c r="I156" s="112">
        <f t="shared" si="197"/>
        <v>53360</v>
      </c>
      <c r="J156" s="112">
        <f t="shared" si="197"/>
        <v>57280</v>
      </c>
      <c r="K156" s="112">
        <f t="shared" si="197"/>
        <v>61280</v>
      </c>
      <c r="L156" s="112">
        <f t="shared" si="197"/>
        <v>65200</v>
      </c>
      <c r="N156" s="108" t="s">
        <v>2190</v>
      </c>
      <c r="P156" s="221">
        <f>+P112/5*8</f>
        <v>32880</v>
      </c>
      <c r="Q156" s="221">
        <f t="shared" ref="Q156:W156" si="198">+Q112/5*8</f>
        <v>37600</v>
      </c>
      <c r="R156" s="221">
        <f t="shared" si="198"/>
        <v>42320</v>
      </c>
      <c r="S156" s="221">
        <f t="shared" si="198"/>
        <v>46960</v>
      </c>
      <c r="T156" s="221">
        <f t="shared" si="198"/>
        <v>50720</v>
      </c>
      <c r="U156" s="221">
        <f t="shared" si="198"/>
        <v>54480</v>
      </c>
      <c r="V156" s="221">
        <f t="shared" si="198"/>
        <v>58240</v>
      </c>
      <c r="W156" s="221">
        <f t="shared" si="198"/>
        <v>62000</v>
      </c>
      <c r="Y156" s="221">
        <f t="shared" ref="Y156:AF158" si="199">+Y112/5*8</f>
        <v>34560</v>
      </c>
      <c r="Z156" s="221">
        <f t="shared" si="199"/>
        <v>39520</v>
      </c>
      <c r="AA156" s="221">
        <f t="shared" si="199"/>
        <v>44480</v>
      </c>
      <c r="AB156" s="221">
        <f t="shared" si="199"/>
        <v>49360</v>
      </c>
      <c r="AC156" s="221">
        <f t="shared" si="199"/>
        <v>53360</v>
      </c>
      <c r="AD156" s="221">
        <f t="shared" si="199"/>
        <v>57280</v>
      </c>
      <c r="AE156" s="221">
        <f t="shared" si="199"/>
        <v>61280</v>
      </c>
      <c r="AF156" s="221">
        <f t="shared" si="199"/>
        <v>65200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35120</v>
      </c>
      <c r="F157" s="190">
        <f t="shared" ref="F157:L157" si="201">+MAX(F156,F158)</f>
        <v>40080</v>
      </c>
      <c r="G157" s="190">
        <f t="shared" si="201"/>
        <v>45120</v>
      </c>
      <c r="H157" s="190">
        <f t="shared" si="201"/>
        <v>50080</v>
      </c>
      <c r="I157" s="190">
        <f t="shared" si="201"/>
        <v>54160</v>
      </c>
      <c r="J157" s="190">
        <f t="shared" si="201"/>
        <v>58160</v>
      </c>
      <c r="K157" s="190">
        <f t="shared" si="201"/>
        <v>62160</v>
      </c>
      <c r="L157" s="190">
        <f t="shared" si="201"/>
        <v>66160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35120</v>
      </c>
      <c r="F158" s="239">
        <f t="shared" si="202"/>
        <v>40080</v>
      </c>
      <c r="G158" s="239">
        <f t="shared" si="202"/>
        <v>45120</v>
      </c>
      <c r="H158" s="239">
        <f t="shared" si="202"/>
        <v>50080</v>
      </c>
      <c r="I158" s="239">
        <f t="shared" si="202"/>
        <v>54160</v>
      </c>
      <c r="J158" s="239">
        <f t="shared" si="202"/>
        <v>58160</v>
      </c>
      <c r="K158" s="239">
        <f t="shared" si="202"/>
        <v>62160</v>
      </c>
      <c r="L158" s="239">
        <f t="shared" si="202"/>
        <v>66160</v>
      </c>
      <c r="N158" s="108" t="s">
        <v>2229</v>
      </c>
      <c r="P158" s="221">
        <f>+P114/5*8</f>
        <v>34800</v>
      </c>
      <c r="Q158" s="221">
        <f t="shared" ref="Q158:W158" si="203">+Q114/5*8</f>
        <v>39760</v>
      </c>
      <c r="R158" s="221">
        <f t="shared" si="203"/>
        <v>44720</v>
      </c>
      <c r="S158" s="221">
        <f t="shared" si="203"/>
        <v>49680</v>
      </c>
      <c r="T158" s="221">
        <f t="shared" si="203"/>
        <v>53680</v>
      </c>
      <c r="U158" s="221">
        <f t="shared" si="203"/>
        <v>57680</v>
      </c>
      <c r="V158" s="221">
        <f t="shared" si="203"/>
        <v>61680</v>
      </c>
      <c r="W158" s="221">
        <f t="shared" si="203"/>
        <v>65600</v>
      </c>
      <c r="Y158" s="221">
        <f t="shared" si="199"/>
        <v>35120</v>
      </c>
      <c r="Z158" s="221">
        <f t="shared" si="199"/>
        <v>40080</v>
      </c>
      <c r="AA158" s="221">
        <f t="shared" si="199"/>
        <v>45120</v>
      </c>
      <c r="AB158" s="221">
        <f t="shared" si="199"/>
        <v>50080</v>
      </c>
      <c r="AC158" s="221">
        <f t="shared" si="199"/>
        <v>54160</v>
      </c>
      <c r="AD158" s="221">
        <f t="shared" si="199"/>
        <v>58160</v>
      </c>
      <c r="AE158" s="221">
        <f t="shared" si="199"/>
        <v>62160</v>
      </c>
      <c r="AF158" s="221">
        <f t="shared" si="199"/>
        <v>66160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35120</v>
      </c>
      <c r="F159" s="190">
        <f t="shared" ref="F159:L159" si="204">+MAX(F158,F160)</f>
        <v>40080</v>
      </c>
      <c r="G159" s="190">
        <f t="shared" si="204"/>
        <v>45120</v>
      </c>
      <c r="H159" s="190">
        <f t="shared" si="204"/>
        <v>50080</v>
      </c>
      <c r="I159" s="190">
        <f t="shared" si="204"/>
        <v>54160</v>
      </c>
      <c r="J159" s="190">
        <f t="shared" si="204"/>
        <v>58160</v>
      </c>
      <c r="K159" s="190">
        <f t="shared" si="204"/>
        <v>62160</v>
      </c>
      <c r="L159" s="190">
        <f t="shared" si="204"/>
        <v>66160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35120</v>
      </c>
      <c r="F160" s="239">
        <f t="shared" si="205"/>
        <v>40080</v>
      </c>
      <c r="G160" s="239">
        <f t="shared" si="205"/>
        <v>45120</v>
      </c>
      <c r="H160" s="239">
        <f t="shared" si="205"/>
        <v>50080</v>
      </c>
      <c r="I160" s="239">
        <f t="shared" si="205"/>
        <v>54160</v>
      </c>
      <c r="J160" s="239">
        <f t="shared" si="205"/>
        <v>58160</v>
      </c>
      <c r="K160" s="239">
        <f t="shared" si="205"/>
        <v>62160</v>
      </c>
      <c r="L160" s="239">
        <f t="shared" si="205"/>
        <v>66160</v>
      </c>
      <c r="N160" s="108" t="s">
        <v>2269</v>
      </c>
      <c r="P160" s="221">
        <f>+P116*1.6</f>
        <v>33040</v>
      </c>
      <c r="Q160" s="221">
        <f t="shared" ref="Q160:W160" si="206">+Q116*1.6</f>
        <v>37760</v>
      </c>
      <c r="R160" s="221">
        <f t="shared" si="206"/>
        <v>42480</v>
      </c>
      <c r="S160" s="221">
        <f t="shared" si="206"/>
        <v>47200</v>
      </c>
      <c r="T160" s="221">
        <f t="shared" si="206"/>
        <v>51040</v>
      </c>
      <c r="U160" s="221">
        <f t="shared" si="206"/>
        <v>54800</v>
      </c>
      <c r="V160" s="221">
        <f t="shared" si="206"/>
        <v>58560</v>
      </c>
      <c r="W160" s="221">
        <f t="shared" si="206"/>
        <v>62320</v>
      </c>
      <c r="Y160" s="221">
        <f>+Y116*1.6</f>
        <v>35120</v>
      </c>
      <c r="Z160" s="221">
        <f t="shared" ref="Z160:AF160" si="207">+Z116*1.6</f>
        <v>40080</v>
      </c>
      <c r="AA160" s="221">
        <f t="shared" si="207"/>
        <v>45120</v>
      </c>
      <c r="AB160" s="221">
        <f t="shared" si="207"/>
        <v>50080</v>
      </c>
      <c r="AC160" s="221">
        <f t="shared" si="207"/>
        <v>54160</v>
      </c>
      <c r="AD160" s="221">
        <f t="shared" si="207"/>
        <v>58160</v>
      </c>
      <c r="AE160" s="221">
        <f t="shared" si="207"/>
        <v>62160</v>
      </c>
      <c r="AF160" s="221">
        <f t="shared" si="207"/>
        <v>66160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37360</v>
      </c>
      <c r="F161" s="224">
        <f t="shared" ref="F161:L163" si="209">+MAX(F160,F162)</f>
        <v>42720</v>
      </c>
      <c r="G161" s="224">
        <f t="shared" si="209"/>
        <v>48080</v>
      </c>
      <c r="H161" s="224">
        <f t="shared" si="209"/>
        <v>53360</v>
      </c>
      <c r="I161" s="224">
        <f t="shared" si="209"/>
        <v>57680</v>
      </c>
      <c r="J161" s="224">
        <f t="shared" si="209"/>
        <v>61920</v>
      </c>
      <c r="K161" s="224">
        <f t="shared" si="209"/>
        <v>66240</v>
      </c>
      <c r="L161" s="224">
        <f t="shared" si="209"/>
        <v>70480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37360</v>
      </c>
      <c r="F162" s="187">
        <f t="shared" ref="F162:L162" si="211">+MAX(Q162,Z162,AJ162)</f>
        <v>42720</v>
      </c>
      <c r="G162" s="187">
        <f t="shared" si="211"/>
        <v>48080</v>
      </c>
      <c r="H162" s="187">
        <f t="shared" si="211"/>
        <v>53360</v>
      </c>
      <c r="I162" s="187">
        <f t="shared" si="211"/>
        <v>57680</v>
      </c>
      <c r="J162" s="187">
        <f t="shared" si="211"/>
        <v>61920</v>
      </c>
      <c r="K162" s="187">
        <f t="shared" si="211"/>
        <v>66240</v>
      </c>
      <c r="L162" s="187">
        <f t="shared" si="211"/>
        <v>70480</v>
      </c>
      <c r="N162" s="269" t="s">
        <v>2432</v>
      </c>
      <c r="P162" s="226">
        <f>+P118*1.6</f>
        <v>35360</v>
      </c>
      <c r="Q162" s="226">
        <f t="shared" ref="Q162:W162" si="212">+Q118*1.6</f>
        <v>40400</v>
      </c>
      <c r="R162" s="226">
        <f t="shared" si="212"/>
        <v>45440</v>
      </c>
      <c r="S162" s="226">
        <f t="shared" si="212"/>
        <v>50480</v>
      </c>
      <c r="T162" s="226">
        <f t="shared" si="212"/>
        <v>54560</v>
      </c>
      <c r="U162" s="226">
        <f t="shared" si="212"/>
        <v>58560</v>
      </c>
      <c r="V162" s="226">
        <f t="shared" si="212"/>
        <v>62640</v>
      </c>
      <c r="W162" s="226">
        <f t="shared" si="212"/>
        <v>66640</v>
      </c>
      <c r="Y162" s="226">
        <f>+Y118*1.6</f>
        <v>37360</v>
      </c>
      <c r="Z162" s="226">
        <f t="shared" ref="Z162:AF162" si="213">+Z118*1.6</f>
        <v>42720</v>
      </c>
      <c r="AA162" s="226">
        <f t="shared" si="213"/>
        <v>48080</v>
      </c>
      <c r="AB162" s="226">
        <f t="shared" si="213"/>
        <v>53360</v>
      </c>
      <c r="AC162" s="226">
        <f t="shared" si="213"/>
        <v>57680</v>
      </c>
      <c r="AD162" s="226">
        <f t="shared" si="213"/>
        <v>61920</v>
      </c>
      <c r="AE162" s="226">
        <f t="shared" si="213"/>
        <v>66240</v>
      </c>
      <c r="AF162" s="226">
        <f t="shared" si="213"/>
        <v>70480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37360</v>
      </c>
      <c r="F163" s="224">
        <f t="shared" si="209"/>
        <v>42720</v>
      </c>
      <c r="G163" s="224">
        <f t="shared" si="209"/>
        <v>48080</v>
      </c>
      <c r="H163" s="224">
        <f t="shared" si="209"/>
        <v>53360</v>
      </c>
      <c r="I163" s="224">
        <f t="shared" si="209"/>
        <v>57680</v>
      </c>
      <c r="J163" s="224">
        <f t="shared" si="209"/>
        <v>61920</v>
      </c>
      <c r="K163" s="224">
        <f t="shared" si="209"/>
        <v>66240</v>
      </c>
      <c r="L163" s="224">
        <f t="shared" si="209"/>
        <v>70480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37360</v>
      </c>
      <c r="F164" s="187">
        <f t="shared" ref="F164" si="217">+MAX(Q164,Z164,AJ164)</f>
        <v>42720</v>
      </c>
      <c r="G164" s="187">
        <f t="shared" ref="G164" si="218">+MAX(R164,AA164,AK164)</f>
        <v>48080</v>
      </c>
      <c r="H164" s="187">
        <f t="shared" ref="H164" si="219">+MAX(S164,AB164,AL164)</f>
        <v>53360</v>
      </c>
      <c r="I164" s="187">
        <f t="shared" ref="I164" si="220">+MAX(T164,AC164,AM164)</f>
        <v>57680</v>
      </c>
      <c r="J164" s="187">
        <f t="shared" ref="J164" si="221">+MAX(U164,AD164,AN164)</f>
        <v>61920</v>
      </c>
      <c r="K164" s="187">
        <f t="shared" ref="K164" si="222">+MAX(V164,AE164,AO164)</f>
        <v>66240</v>
      </c>
      <c r="L164" s="187">
        <f t="shared" ref="L164" si="223">+MAX(W164,AF164,AP164)</f>
        <v>70480</v>
      </c>
      <c r="N164" s="316" t="s">
        <v>2419</v>
      </c>
      <c r="P164" s="226">
        <f>P120*1.6</f>
        <v>36560</v>
      </c>
      <c r="Q164" s="226">
        <f t="shared" ref="Q164:W164" si="224">Q120*1.6</f>
        <v>41760</v>
      </c>
      <c r="R164" s="226">
        <f t="shared" si="224"/>
        <v>46960</v>
      </c>
      <c r="S164" s="226">
        <f t="shared" si="224"/>
        <v>52160</v>
      </c>
      <c r="T164" s="226">
        <f t="shared" si="224"/>
        <v>56400</v>
      </c>
      <c r="U164" s="226">
        <f t="shared" si="224"/>
        <v>60560</v>
      </c>
      <c r="V164" s="226">
        <f t="shared" si="224"/>
        <v>64720</v>
      </c>
      <c r="W164" s="226">
        <f t="shared" si="224"/>
        <v>68880</v>
      </c>
      <c r="Y164" s="226">
        <f>+Y120*1.6</f>
        <v>37360</v>
      </c>
      <c r="Z164" s="226">
        <f t="shared" ref="Z164:AF164" si="225">+Z120*1.6</f>
        <v>42720</v>
      </c>
      <c r="AA164" s="226">
        <f t="shared" si="225"/>
        <v>48080</v>
      </c>
      <c r="AB164" s="226">
        <f t="shared" si="225"/>
        <v>53360</v>
      </c>
      <c r="AC164" s="226">
        <f t="shared" si="225"/>
        <v>57680</v>
      </c>
      <c r="AD164" s="226">
        <f t="shared" si="225"/>
        <v>61920</v>
      </c>
      <c r="AE164" s="226">
        <f t="shared" si="225"/>
        <v>66240</v>
      </c>
      <c r="AF164" s="226">
        <f t="shared" si="225"/>
        <v>70480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42" t="s">
        <v>1066</v>
      </c>
      <c r="Q166" s="342"/>
      <c r="R166" s="342"/>
      <c r="S166" s="342"/>
      <c r="T166" s="342"/>
      <c r="U166" s="342"/>
      <c r="V166" s="342"/>
      <c r="W166" s="342"/>
      <c r="AI166" s="342" t="s">
        <v>2226</v>
      </c>
      <c r="AJ166" s="342"/>
      <c r="AK166" s="342"/>
      <c r="AL166" s="342"/>
      <c r="AM166" s="342"/>
      <c r="AN166" s="342"/>
      <c r="AO166" s="342"/>
      <c r="AP166" s="342"/>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12-31-2008Grayson60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1/1/2009 - 5/13/2010Grayson60</v>
      </c>
      <c r="P168" s="45"/>
      <c r="Q168" s="37"/>
      <c r="R168" s="46"/>
      <c r="S168" s="221">
        <f>+S102/5*10</f>
        <v>57600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57600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6/29/2010 - 5/30/2011Grayson60</v>
      </c>
      <c r="P170" s="45"/>
      <c r="Q170" s="37"/>
      <c r="R170" s="46"/>
      <c r="S170" s="221">
        <f>+S104/5*10</f>
        <v>57600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59000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7/16/2011 - 11/31/2011Grayson</v>
      </c>
      <c r="P172" s="45"/>
      <c r="Q172" s="37"/>
      <c r="R172" s="46"/>
      <c r="S172" s="221">
        <f>VLOOKUP($N172,'6-1-11'!$A$4:$T$257,E$122+3,FALSE)</f>
        <v>59000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59800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1/16/2012 - 12/3/2012Grayson</v>
      </c>
      <c r="P174" s="45"/>
      <c r="Q174" s="37"/>
      <c r="R174" s="46"/>
      <c r="S174" s="221">
        <f>VLOOKUP($N174,'12-1-11'!$A$4:$T$257,E$122+3,FALSE)</f>
        <v>59800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61700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1/18/2013 - 12/17/2013Grayson</v>
      </c>
      <c r="P176" s="45"/>
      <c r="Q176" s="37"/>
      <c r="R176" s="46"/>
      <c r="S176" s="221">
        <f>VLOOKUP($N176,'2013 placeholder'!$A$4:$T$257,E$122+3,FALSE)</f>
        <v>61700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61700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2/1/2014 - 3/5/2015Grayson</v>
      </c>
      <c r="P178" s="45"/>
      <c r="Q178" s="37"/>
      <c r="R178" s="46"/>
      <c r="S178" s="226">
        <f>VLOOKUP(N178,'2014 placeholder'!A4:D257,E122+3,FALSE)</f>
        <v>58700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62600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4/21/2015 - 3/27/2016Grayson</v>
      </c>
      <c r="P180" s="45"/>
      <c r="Q180" s="37"/>
      <c r="R180" s="46"/>
      <c r="S180" s="226">
        <f>VLOOKUP(N180,'2015 MTSP Limits'!A4:D257,E122+3,FALSE)</f>
        <v>62600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62600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5/13/2016 - 4/13/2017Grayson</v>
      </c>
      <c r="P182" s="45"/>
      <c r="Q182" s="37"/>
      <c r="R182" s="46"/>
      <c r="S182" s="226">
        <f>VLOOKUP(N182,MTSP2016!A4:D257,E122+3,FALSE)</f>
        <v>56200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66700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5/30/2017 - 3/31/2018Grayson</v>
      </c>
      <c r="P184" s="47"/>
      <c r="Q184" s="50"/>
      <c r="R184" s="48"/>
      <c r="S184" s="226">
        <f>VLOOKUP($N184,MTSP2017!A4:D257,E122+3,FALSE)</f>
        <v>66700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66700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5/17/2018Grayson</v>
      </c>
      <c r="P186" s="37"/>
      <c r="Q186" s="37"/>
      <c r="R186" s="37"/>
      <c r="S186" s="238">
        <f>INDEX(MTSP2018!D3:D257,MATCH('Income-Rent Tool'!N186,MTSP2018!A3:A257,0))</f>
        <v>65200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43"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44"/>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44"/>
      <c r="B190" s="115"/>
      <c r="C190" s="116"/>
      <c r="D190" s="71">
        <v>30</v>
      </c>
      <c r="E190" s="72">
        <f>+VLOOKUP($N190,'HOME 2-25-2013'!$A$1:$BH$256,4+E$189,FALSE)</f>
        <v>13300</v>
      </c>
      <c r="F190" s="72">
        <f>+VLOOKUP($N190,'HOME 2-25-2013'!$A$1:$BH$256,4+F$189,FALSE)</f>
        <v>15200</v>
      </c>
      <c r="G190" s="72">
        <f>+VLOOKUP($N190,'HOME 2-25-2013'!$A$1:$BH$256,4+G$189,FALSE)</f>
        <v>17100</v>
      </c>
      <c r="H190" s="72">
        <f>+VLOOKUP($N190,'HOME 2-25-2013'!$A$1:$BH$256,4+H$189,FALSE)</f>
        <v>18950</v>
      </c>
      <c r="I190" s="72">
        <f>+VLOOKUP($N190,'HOME 2-25-2013'!$A$1:$BH$256,4+I$189,FALSE)</f>
        <v>20500</v>
      </c>
      <c r="J190" s="72">
        <f>+VLOOKUP($N190,'HOME 2-25-2013'!$A$1:$BH$256,4+J$189,FALSE)</f>
        <v>22000</v>
      </c>
      <c r="K190" s="72">
        <f>+VLOOKUP($N190,'HOME 2-25-2013'!$A$1:$BH$256,4+K$189,FALSE)</f>
        <v>23500</v>
      </c>
      <c r="L190" s="72">
        <f>+VLOOKUP($N190,'HOME 2-25-2013'!$A$1:$BH$256,4+L$189,FALSE)</f>
        <v>25050</v>
      </c>
      <c r="M190" s="125"/>
      <c r="N190" s="111" t="str">
        <f t="shared" ref="N190:N195" si="228">+B$11</f>
        <v>Grayson</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44"/>
      <c r="B191" s="115"/>
      <c r="C191" s="116"/>
      <c r="D191" s="73">
        <v>40</v>
      </c>
      <c r="E191" s="72">
        <f>0.8*E192</f>
        <v>17680</v>
      </c>
      <c r="F191" s="72">
        <f t="shared" ref="F191:L191" si="229">0.8*F192</f>
        <v>20200</v>
      </c>
      <c r="G191" s="72">
        <f t="shared" si="229"/>
        <v>22720</v>
      </c>
      <c r="H191" s="72">
        <f t="shared" si="229"/>
        <v>25240</v>
      </c>
      <c r="I191" s="72">
        <f t="shared" si="229"/>
        <v>27280</v>
      </c>
      <c r="J191" s="72">
        <f t="shared" si="229"/>
        <v>29280</v>
      </c>
      <c r="K191" s="72">
        <f t="shared" si="229"/>
        <v>31320</v>
      </c>
      <c r="L191" s="72">
        <f t="shared" si="229"/>
        <v>33320</v>
      </c>
      <c r="M191" s="125"/>
      <c r="N191" s="111" t="str">
        <f t="shared" si="228"/>
        <v>Grayson</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44"/>
      <c r="B192" s="115"/>
      <c r="C192" s="116"/>
      <c r="D192" s="73">
        <v>50</v>
      </c>
      <c r="E192" s="72">
        <f>+VLOOKUP($N191,'HOME 2-25-2013'!$A$1:$BH$256,12+E$189,FALSE)</f>
        <v>22100</v>
      </c>
      <c r="F192" s="72">
        <f>+VLOOKUP($N191,'HOME 2-25-2013'!$A$1:$BH$256,12+F$189,FALSE)</f>
        <v>25250</v>
      </c>
      <c r="G192" s="72">
        <f>+VLOOKUP($N191,'HOME 2-25-2013'!$A$1:$BH$256,12+G$189,FALSE)</f>
        <v>28400</v>
      </c>
      <c r="H192" s="72">
        <f>+VLOOKUP($N191,'HOME 2-25-2013'!$A$1:$BH$256,12+H$189,FALSE)</f>
        <v>31550</v>
      </c>
      <c r="I192" s="72">
        <f>+VLOOKUP($N191,'HOME 2-25-2013'!$A$1:$BH$256,12+I$189,FALSE)</f>
        <v>34100</v>
      </c>
      <c r="J192" s="72">
        <f>+VLOOKUP($N191,'HOME 2-25-2013'!$A$1:$BH$256,12+J$189,FALSE)</f>
        <v>36600</v>
      </c>
      <c r="K192" s="72">
        <f>+VLOOKUP($N191,'HOME 2-25-2013'!$A$1:$BH$256,12+K$189,FALSE)</f>
        <v>39150</v>
      </c>
      <c r="L192" s="72">
        <f>+VLOOKUP($N191,'HOME 2-25-2013'!$A$1:$BH$256,12+L$189,FALSE)</f>
        <v>41650</v>
      </c>
      <c r="M192" s="125"/>
      <c r="N192" s="111" t="str">
        <f t="shared" si="228"/>
        <v>Grayson</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44"/>
      <c r="B193" s="115"/>
      <c r="C193" s="116"/>
      <c r="D193" s="73">
        <v>60</v>
      </c>
      <c r="E193" s="72">
        <f>+VLOOKUP($N192,'HOME 2-25-2013'!$A$1:$BH$256,20+E$189,FALSE)</f>
        <v>26520</v>
      </c>
      <c r="F193" s="72">
        <f>+VLOOKUP($N192,'HOME 2-25-2013'!$A$1:$BH$256,20+F$189,FALSE)</f>
        <v>30300</v>
      </c>
      <c r="G193" s="72">
        <f>+VLOOKUP($N192,'HOME 2-25-2013'!$A$1:$BH$256,20+G$189,FALSE)</f>
        <v>34080</v>
      </c>
      <c r="H193" s="72">
        <f>+VLOOKUP($N192,'HOME 2-25-2013'!$A$1:$BH$256,20+H$189,FALSE)</f>
        <v>37860</v>
      </c>
      <c r="I193" s="72">
        <f>+VLOOKUP($N192,'HOME 2-25-2013'!$A$1:$BH$256,20+I$189,FALSE)</f>
        <v>40920</v>
      </c>
      <c r="J193" s="72">
        <f>+VLOOKUP($N192,'HOME 2-25-2013'!$A$1:$BH$256,20+J$189,FALSE)</f>
        <v>43920</v>
      </c>
      <c r="K193" s="72">
        <f>+VLOOKUP($N192,'HOME 2-25-2013'!$A$1:$BH$256,20+K$189,FALSE)</f>
        <v>46980</v>
      </c>
      <c r="L193" s="72">
        <f>+VLOOKUP($N192,'HOME 2-25-2013'!$A$1:$BH$256,20+L$189,FALSE)</f>
        <v>49980</v>
      </c>
      <c r="M193" s="125"/>
      <c r="N193" s="111" t="str">
        <f t="shared" si="228"/>
        <v>Grayson</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44"/>
      <c r="B194" s="115"/>
      <c r="C194" s="116"/>
      <c r="D194" s="74">
        <v>80</v>
      </c>
      <c r="E194" s="166">
        <f>+VLOOKUP($N193,'HOME 2-25-2013'!$A$1:$BH$256,28+E$189,FALSE)</f>
        <v>35350</v>
      </c>
      <c r="F194" s="75">
        <f>+VLOOKUP($N193,'HOME 2-25-2013'!$A$1:$BH$256,28+F$189,FALSE)</f>
        <v>40400</v>
      </c>
      <c r="G194" s="75">
        <f>+VLOOKUP($N193,'HOME 2-25-2013'!$A$1:$BH$256,28+G$189,FALSE)</f>
        <v>45450</v>
      </c>
      <c r="H194" s="75">
        <f>+VLOOKUP($N193,'HOME 2-25-2013'!$A$1:$BH$256,28+H$189,FALSE)</f>
        <v>50500</v>
      </c>
      <c r="I194" s="75">
        <f>+VLOOKUP($N193,'HOME 2-25-2013'!$A$1:$BH$256,28+I$189,FALSE)</f>
        <v>54550</v>
      </c>
      <c r="J194" s="75">
        <f>+VLOOKUP($N193,'HOME 2-25-2013'!$A$1:$BH$256,28+J$189,FALSE)</f>
        <v>58600</v>
      </c>
      <c r="K194" s="75">
        <f>+VLOOKUP($N193,'HOME 2-25-2013'!$A$1:$BH$256,28+K$189,FALSE)</f>
        <v>62650</v>
      </c>
      <c r="L194" s="167">
        <f>+VLOOKUP($N193,'HOME 2-25-2013'!$A$1:$BH$256,28+L$189,FALSE)</f>
        <v>66700</v>
      </c>
      <c r="M194" s="125"/>
      <c r="N194" s="111" t="str">
        <f t="shared" si="228"/>
        <v>Grayson</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44"/>
      <c r="B195" s="115"/>
      <c r="C195" s="116"/>
      <c r="D195" s="74">
        <v>120</v>
      </c>
      <c r="E195" s="75"/>
      <c r="F195" s="75"/>
      <c r="G195" s="75"/>
      <c r="H195" s="75"/>
      <c r="I195" s="75"/>
      <c r="J195" s="75"/>
      <c r="K195" s="75"/>
      <c r="L195" s="75"/>
      <c r="M195" s="127"/>
      <c r="N195" s="111" t="str">
        <f t="shared" si="228"/>
        <v>Grayson</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44"/>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44"/>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44"/>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44"/>
      <c r="B199" s="115"/>
      <c r="C199" s="116"/>
      <c r="D199" s="71">
        <v>30</v>
      </c>
      <c r="E199" s="72">
        <f>ROUNDDOWN(0.3*E190/12,0)</f>
        <v>332</v>
      </c>
      <c r="F199" s="72">
        <f>ROUNDDOWN(AVERAGE(E190,F190)/12*0.3,0)</f>
        <v>356</v>
      </c>
      <c r="G199" s="72">
        <f>ROUNDDOWN(0.3*G190/12,0)</f>
        <v>427</v>
      </c>
      <c r="H199" s="72">
        <f>ROUNDDOWN(AVERAGE(I190,H190)/12*0.3,0)</f>
        <v>493</v>
      </c>
      <c r="I199" s="72">
        <f>ROUNDDOWN(0.3*J190/12,0)</f>
        <v>550</v>
      </c>
      <c r="J199" s="72">
        <f>ROUNDDOWN(AVERAGE(K190,L190)/12*0.3,0)</f>
        <v>606</v>
      </c>
      <c r="K199" s="60"/>
      <c r="L199" s="61"/>
      <c r="M199" s="125"/>
      <c r="N199" s="111" t="str">
        <f>+B$11</f>
        <v>Grayson</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44"/>
      <c r="B200" s="115"/>
      <c r="C200" s="116"/>
      <c r="D200" s="73">
        <v>40</v>
      </c>
      <c r="E200" s="72">
        <f>ROUNDDOWN(0.3*E191/12,0)</f>
        <v>442</v>
      </c>
      <c r="F200" s="72">
        <f>ROUNDDOWN(AVERAGE(E191,F191)/12*0.3,0)</f>
        <v>473</v>
      </c>
      <c r="G200" s="72">
        <f>ROUNDDOWN(0.3*G191/12,0)</f>
        <v>568</v>
      </c>
      <c r="H200" s="72">
        <f>ROUNDDOWN(AVERAGE(I191,H191)/12*0.3,0)</f>
        <v>656</v>
      </c>
      <c r="I200" s="72">
        <f>ROUNDDOWN(0.3*J191/12,0)</f>
        <v>732</v>
      </c>
      <c r="J200" s="72">
        <f>ROUNDDOWN(AVERAGE(K191,L191)/12*0.3,0)</f>
        <v>808</v>
      </c>
      <c r="K200" s="51"/>
      <c r="L200" s="52"/>
      <c r="M200" s="125"/>
      <c r="N200" s="111" t="str">
        <f>+B$11</f>
        <v>Grayson</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44"/>
      <c r="B201" s="115"/>
      <c r="C201" s="116"/>
      <c r="D201" s="77" t="s">
        <v>1369</v>
      </c>
      <c r="E201" s="72">
        <f>+VLOOKUP($N$208,'2016 HOME rent 6-6-2016'!$A$2:$P$256,5+$E$205,FALSE)</f>
        <v>503</v>
      </c>
      <c r="F201" s="72">
        <f>+VLOOKUP($N$208,'2016 HOME rent 6-6-2016'!$A$2:$P$256,6+$E$205,FALSE)</f>
        <v>582</v>
      </c>
      <c r="G201" s="72">
        <f>+VLOOKUP($N$208,'2016 HOME rent 6-6-2016'!$A$2:$P$256,7+$E$205,FALSE)</f>
        <v>698</v>
      </c>
      <c r="H201" s="72">
        <f>+VLOOKUP($N$208,'2016 HOME rent 6-6-2016'!$A$2:$P$256,8+$E$205,FALSE)</f>
        <v>807</v>
      </c>
      <c r="I201" s="72">
        <f>+VLOOKUP($N$208,'2016 HOME rent 6-6-2016'!$A$2:$P$256,9+$E$205,FALSE)</f>
        <v>901</v>
      </c>
      <c r="J201" s="72">
        <f>+VLOOKUP($N$208,'2016 HOME rent 6-6-2016'!$A$2:$P$256,10+$E$205,FALSE)</f>
        <v>994</v>
      </c>
      <c r="K201" s="51"/>
      <c r="L201" s="52"/>
      <c r="M201" s="125"/>
      <c r="N201" s="111" t="str">
        <f>+B$11</f>
        <v>Grayson</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44"/>
      <c r="B202" s="115"/>
      <c r="C202" s="116"/>
      <c r="D202" s="77" t="s">
        <v>1370</v>
      </c>
      <c r="E202" s="72">
        <f>+VLOOKUP($N$208,'2016 HOME rent 6-6-2016'!$A$2:$P$256,11+$E$205,FALSE)</f>
        <v>503</v>
      </c>
      <c r="F202" s="72">
        <f>+VLOOKUP($N$208,'2016 HOME rent 6-6-2016'!$A$2:$P$256,12+$E$205,FALSE)</f>
        <v>625</v>
      </c>
      <c r="G202" s="72">
        <f>+VLOOKUP($N$208,'2016 HOME rent 6-6-2016'!$A$2:$P$256,13+$E$205,FALSE)</f>
        <v>788</v>
      </c>
      <c r="H202" s="72">
        <f>+VLOOKUP($N$208,'2016 HOME rent 6-6-2016'!$A$2:$P$256,14+$E$205,FALSE)</f>
        <v>1017</v>
      </c>
      <c r="I202" s="72">
        <f>+VLOOKUP($N$208,'2016 HOME rent 6-6-2016'!$A$2:$P$256,15+$E$205,FALSE)</f>
        <v>1115</v>
      </c>
      <c r="J202" s="72">
        <f>+VLOOKUP($N$208,'2016 HOME rent 6-6-2016'!$A$2:$P$256,16+$E$205,FALSE)</f>
        <v>1211</v>
      </c>
      <c r="K202" s="51"/>
      <c r="L202" s="52"/>
      <c r="M202" s="125"/>
      <c r="N202" s="111" t="str">
        <f>+B$11</f>
        <v>Grayson</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44"/>
      <c r="B203" s="118"/>
      <c r="C203" s="119"/>
      <c r="D203" s="62"/>
      <c r="E203" s="63"/>
      <c r="F203" s="63"/>
      <c r="G203" s="63"/>
      <c r="H203" s="63"/>
      <c r="I203" s="63"/>
      <c r="J203" s="64"/>
      <c r="K203" s="53"/>
      <c r="L203" s="54"/>
      <c r="M203" s="127"/>
      <c r="N203" s="111" t="str">
        <f>+B$11</f>
        <v>Grayson</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44"/>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44"/>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44"/>
      <c r="B206" s="115"/>
      <c r="C206" s="116"/>
      <c r="D206" s="71">
        <v>30</v>
      </c>
      <c r="E206" s="72">
        <f>ROUNDDOWN(0.3*E190/12,0)</f>
        <v>332</v>
      </c>
      <c r="F206" s="72">
        <f>ROUNDDOWN(AVERAGE(E190,F190)/12*0.3,0)</f>
        <v>356</v>
      </c>
      <c r="G206" s="72">
        <f>ROUNDDOWN(0.3*G190/12,0)</f>
        <v>427</v>
      </c>
      <c r="H206" s="72">
        <f>ROUNDDOWN(AVERAGE(I190,H190)/12*0.3,0)</f>
        <v>493</v>
      </c>
      <c r="I206" s="72">
        <f>ROUNDDOWN(0.3*J190/12,0)</f>
        <v>550</v>
      </c>
      <c r="J206" s="72">
        <f>ROUNDDOWN(AVERAGE(K190,L190)/12*0.3,0)</f>
        <v>606</v>
      </c>
      <c r="K206" s="60"/>
      <c r="L206" s="61"/>
      <c r="M206" s="125"/>
      <c r="N206" s="111" t="str">
        <f>+B$11</f>
        <v>Grayson</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44"/>
      <c r="B207" s="115"/>
      <c r="C207" s="116"/>
      <c r="D207" s="77">
        <v>40</v>
      </c>
      <c r="E207" s="72">
        <f>ROUNDDOWN(0.3*E191/12,0)</f>
        <v>442</v>
      </c>
      <c r="F207" s="72">
        <f>ROUNDDOWN(AVERAGE(E191,F191)/12*0.3,0)</f>
        <v>473</v>
      </c>
      <c r="G207" s="72">
        <f>ROUNDDOWN(0.3*G191/12,0)</f>
        <v>568</v>
      </c>
      <c r="H207" s="72">
        <f>ROUNDDOWN(AVERAGE(I191,H191)/12*0.3,0)</f>
        <v>656</v>
      </c>
      <c r="I207" s="72">
        <f>ROUNDDOWN(0.3*J191/12,0)</f>
        <v>732</v>
      </c>
      <c r="J207" s="72">
        <f>ROUNDDOWN(AVERAGE(K191,L191)/12*0.3,0)</f>
        <v>808</v>
      </c>
      <c r="K207" s="51"/>
      <c r="L207" s="52"/>
      <c r="M207" s="125"/>
      <c r="N207" s="111" t="str">
        <f>+B$11</f>
        <v>Grayson</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44"/>
      <c r="B208" s="115"/>
      <c r="C208" s="116"/>
      <c r="D208" s="77" t="s">
        <v>1369</v>
      </c>
      <c r="E208" s="72">
        <f>+VLOOKUP($N$208,'2017 HOME rent 6-15-2017'!$A$2:$P$256,5+$E$205,FALSE)</f>
        <v>508</v>
      </c>
      <c r="F208" s="72">
        <f>+VLOOKUP($N$208,'2017 HOME rent 6-15-2017'!$A$2:$P$256,6+$E$205,FALSE)</f>
        <v>591</v>
      </c>
      <c r="G208" s="72">
        <f>+VLOOKUP($N$208,'2017 HOME rent 6-15-2017'!$A$2:$P$256,7+$E$205,FALSE)</f>
        <v>710</v>
      </c>
      <c r="H208" s="72">
        <f>+VLOOKUP($N$208,'2017 HOME rent 6-15-2017'!$A$2:$P$256,8+$E$205,FALSE)</f>
        <v>820</v>
      </c>
      <c r="I208" s="72">
        <f>+VLOOKUP($N$208,'2017 HOME rent 6-15-2017'!$A$2:$P$256,9+$E$205,FALSE)</f>
        <v>915</v>
      </c>
      <c r="J208" s="72">
        <f>+VLOOKUP($N$208,'2017 HOME rent 6-15-2017'!$A$2:$P$256,10+$E$205,FALSE)</f>
        <v>1010</v>
      </c>
      <c r="K208" s="51"/>
      <c r="L208" s="52"/>
      <c r="M208" s="125"/>
      <c r="N208" s="111" t="str">
        <f>+B$11</f>
        <v>Grayson</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44"/>
      <c r="B209" s="115"/>
      <c r="C209" s="116"/>
      <c r="D209" s="77" t="s">
        <v>1370</v>
      </c>
      <c r="E209" s="72">
        <f>+VLOOKUP($N$208,'2017 HOME rent 6-15-2017'!$A$2:$P$256,11+$E$205,FALSE)</f>
        <v>508</v>
      </c>
      <c r="F209" s="72">
        <f>+VLOOKUP($N$208,'2017 HOME rent 6-15-2017'!$A$2:$P$256,12+$E$205,FALSE)</f>
        <v>625</v>
      </c>
      <c r="G209" s="72">
        <f>+VLOOKUP($N$208,'2017 HOME rent 6-15-2017'!$A$2:$P$256,13+$E$205,FALSE)</f>
        <v>795</v>
      </c>
      <c r="H209" s="72">
        <f>+VLOOKUP($N$208,'2017 HOME rent 6-15-2017'!$A$2:$P$256,14+$E$205,FALSE)</f>
        <v>1034</v>
      </c>
      <c r="I209" s="72">
        <f>+VLOOKUP($N$208,'2017 HOME rent 6-15-2017'!$A$2:$P$256,15+$E$205,FALSE)</f>
        <v>1134</v>
      </c>
      <c r="J209" s="72">
        <f>+VLOOKUP($N$208,'2017 HOME rent 6-15-2017'!$A$2:$P$256,16+$E$205,FALSE)</f>
        <v>1232</v>
      </c>
      <c r="K209" s="51"/>
      <c r="L209" s="52"/>
      <c r="M209" s="125"/>
      <c r="N209" s="111" t="str">
        <f>+B$11</f>
        <v>Grayson</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44"/>
      <c r="B210" s="118"/>
      <c r="C210" s="119"/>
      <c r="D210" s="62"/>
      <c r="E210" s="63"/>
      <c r="F210" s="63"/>
      <c r="G210" s="63"/>
      <c r="H210" s="63"/>
      <c r="I210" s="63"/>
      <c r="J210" s="64"/>
      <c r="K210" s="53"/>
      <c r="L210" s="54"/>
      <c r="M210" s="127"/>
      <c r="N210" s="128" t="str">
        <f>+B$11</f>
        <v>Grayson</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36"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37"/>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37"/>
      <c r="B214" s="157"/>
      <c r="C214" s="158"/>
      <c r="D214" s="150">
        <v>30</v>
      </c>
      <c r="E214" s="151">
        <f>+E216*0.6</f>
        <v>13260</v>
      </c>
      <c r="F214" s="151">
        <f t="shared" ref="F214:L214" si="230">+F216*0.6</f>
        <v>15150</v>
      </c>
      <c r="G214" s="151">
        <f t="shared" si="230"/>
        <v>17040</v>
      </c>
      <c r="H214" s="151">
        <f t="shared" si="230"/>
        <v>18930</v>
      </c>
      <c r="I214" s="151">
        <f t="shared" si="230"/>
        <v>20460</v>
      </c>
      <c r="J214" s="151">
        <f t="shared" si="230"/>
        <v>21960</v>
      </c>
      <c r="K214" s="151">
        <f t="shared" si="230"/>
        <v>23490</v>
      </c>
      <c r="L214" s="151">
        <f t="shared" si="230"/>
        <v>24990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37"/>
      <c r="B215" s="157"/>
      <c r="C215" s="158"/>
      <c r="D215" s="152">
        <v>40</v>
      </c>
      <c r="E215" s="151">
        <f>+E216*0.8</f>
        <v>17680</v>
      </c>
      <c r="F215" s="151">
        <f t="shared" ref="F215:L215" si="231">+F216*0.8</f>
        <v>20200</v>
      </c>
      <c r="G215" s="151">
        <f t="shared" si="231"/>
        <v>22720</v>
      </c>
      <c r="H215" s="151">
        <f t="shared" si="231"/>
        <v>25240</v>
      </c>
      <c r="I215" s="151">
        <f t="shared" si="231"/>
        <v>27280</v>
      </c>
      <c r="J215" s="151">
        <f t="shared" si="231"/>
        <v>29280</v>
      </c>
      <c r="K215" s="151">
        <f t="shared" si="231"/>
        <v>31320</v>
      </c>
      <c r="L215" s="151">
        <f t="shared" si="231"/>
        <v>33320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37"/>
      <c r="B216" s="157"/>
      <c r="C216" s="158"/>
      <c r="D216" s="152">
        <v>50</v>
      </c>
      <c r="E216" s="151">
        <f>+VLOOKUP($N216,'NSP12-I'!$A$3:$R$257,2+E$213)</f>
        <v>22100</v>
      </c>
      <c r="F216" s="151">
        <f>+VLOOKUP($N216,'NSP12-I'!$A$3:$R$257,2+F$213)</f>
        <v>25250</v>
      </c>
      <c r="G216" s="151">
        <f>+VLOOKUP($N216,'NSP12-I'!$A$3:$R$257,2+G$213)</f>
        <v>28400</v>
      </c>
      <c r="H216" s="151">
        <f>+VLOOKUP($N216,'NSP12-I'!$A$3:$R$257,2+H$213)</f>
        <v>31550</v>
      </c>
      <c r="I216" s="151">
        <f>+VLOOKUP($N216,'NSP12-I'!$A$3:$R$257,2+I$213)</f>
        <v>34100</v>
      </c>
      <c r="J216" s="151">
        <f>+VLOOKUP($N216,'NSP12-I'!$A$3:$R$257,2+J$213)</f>
        <v>36600</v>
      </c>
      <c r="K216" s="151">
        <f>+VLOOKUP($N216,'NSP12-I'!$A$3:$R$257,2+K$213)</f>
        <v>39150</v>
      </c>
      <c r="L216" s="151">
        <f>+VLOOKUP($N216,'NSP12-I'!$A$3:$R$257,2+L$213)</f>
        <v>41650</v>
      </c>
      <c r="M216" s="125"/>
      <c r="N216" s="111" t="str">
        <f>+CONCATENATE($B$11)</f>
        <v>Grayson</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37"/>
      <c r="B217" s="157"/>
      <c r="C217" s="158"/>
      <c r="D217" s="152">
        <v>60</v>
      </c>
      <c r="E217" s="151">
        <f>+E216*1.2</f>
        <v>26520</v>
      </c>
      <c r="F217" s="151">
        <f t="shared" ref="F217:L217" si="232">+F216*1.2</f>
        <v>30300</v>
      </c>
      <c r="G217" s="151">
        <f t="shared" si="232"/>
        <v>34080</v>
      </c>
      <c r="H217" s="151">
        <f t="shared" si="232"/>
        <v>37860</v>
      </c>
      <c r="I217" s="151">
        <f t="shared" si="232"/>
        <v>40920</v>
      </c>
      <c r="J217" s="151">
        <f t="shared" si="232"/>
        <v>43920</v>
      </c>
      <c r="K217" s="151">
        <f t="shared" si="232"/>
        <v>46980</v>
      </c>
      <c r="L217" s="151">
        <f t="shared" si="232"/>
        <v>49980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37"/>
      <c r="B218" s="157"/>
      <c r="C218" s="158"/>
      <c r="D218" s="153">
        <v>80</v>
      </c>
      <c r="E218" s="154">
        <f>+E216*1.6</f>
        <v>35360</v>
      </c>
      <c r="F218" s="154">
        <f t="shared" ref="F218:L218" si="233">+F216*1.6</f>
        <v>40400</v>
      </c>
      <c r="G218" s="154">
        <f t="shared" si="233"/>
        <v>45440</v>
      </c>
      <c r="H218" s="154">
        <f t="shared" si="233"/>
        <v>50480</v>
      </c>
      <c r="I218" s="154">
        <f t="shared" si="233"/>
        <v>54560</v>
      </c>
      <c r="J218" s="154">
        <f t="shared" si="233"/>
        <v>58560</v>
      </c>
      <c r="K218" s="154">
        <f t="shared" si="233"/>
        <v>62640</v>
      </c>
      <c r="L218" s="154">
        <f t="shared" si="233"/>
        <v>66640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37"/>
      <c r="B219" s="157"/>
      <c r="C219" s="158"/>
      <c r="D219" s="153">
        <v>120</v>
      </c>
      <c r="E219" s="154">
        <f>+VLOOKUP($N219,'NSP12-I'!$A$3:$R$257,10+E$213)</f>
        <v>53000</v>
      </c>
      <c r="F219" s="154">
        <f>+VLOOKUP($N219,'NSP12-I'!$A$3:$R$257,10+F$213)</f>
        <v>60600</v>
      </c>
      <c r="G219" s="154">
        <f>+VLOOKUP($N219,'NSP12-I'!$A$3:$R$257,10+G$213)</f>
        <v>68150</v>
      </c>
      <c r="H219" s="154">
        <f>+VLOOKUP($N219,'NSP12-I'!$A$3:$R$257,10+H$213)</f>
        <v>75700</v>
      </c>
      <c r="I219" s="154">
        <f>+VLOOKUP($N219,'NSP12-I'!$A$3:$R$257,10+I$213)</f>
        <v>81800</v>
      </c>
      <c r="J219" s="154">
        <f>+VLOOKUP($N219,'NSP12-I'!$A$3:$R$257,10+J$213)</f>
        <v>87850</v>
      </c>
      <c r="K219" s="154">
        <f>+VLOOKUP($N219,'NSP12-I'!$A$3:$R$257,10+K$213)</f>
        <v>93900</v>
      </c>
      <c r="L219" s="154">
        <f>+VLOOKUP($N219,'NSP12-I'!$A$3:$R$257,10+L$213)</f>
        <v>99950</v>
      </c>
      <c r="M219" s="127"/>
      <c r="N219" s="128" t="str">
        <f>+CONCATENATE($B$11)</f>
        <v>Grayson</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37"/>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37"/>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37"/>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37"/>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37"/>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37"/>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37"/>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38"/>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26"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27"/>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27"/>
      <c r="B231" s="301"/>
      <c r="C231" s="302"/>
      <c r="D231" s="310">
        <v>30</v>
      </c>
      <c r="E231" s="311">
        <f>INDEX(NHTF2018!D4:D259,MATCH($N$231, NHTF2018!$A$4:$A$259, 0))</f>
        <v>13300</v>
      </c>
      <c r="F231" s="311">
        <f>INDEX(NHTF2018!E4:E259,MATCH($N$231, NHTF2018!$A$4:$A$259, 0))</f>
        <v>16240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Grayson</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27"/>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27"/>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27"/>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27"/>
      <c r="B235" s="301"/>
      <c r="C235" s="302"/>
      <c r="D235" s="310">
        <v>30</v>
      </c>
      <c r="E235" s="311">
        <f>INDEX(NHTF2018!AU4:AU259,MATCH($N$231, NHTF2018!$A$4:$A$259, 0))</f>
        <v>332</v>
      </c>
      <c r="F235" s="311">
        <f>INDEX(NHTF2018!AV4:AV259,MATCH($N$231, NHTF2018!$A$4:$A$259, 0))</f>
        <v>356</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Grayson</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27"/>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27"/>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27"/>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27"/>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27"/>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27"/>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27"/>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27"/>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28"/>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hidden="1">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35:M35"/>
    <mergeCell ref="A33:M33"/>
    <mergeCell ref="A34:M34"/>
    <mergeCell ref="B3:G3"/>
    <mergeCell ref="A27:B28"/>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I100:AP100"/>
    <mergeCell ref="P122:W122"/>
    <mergeCell ref="P56:W56"/>
    <mergeCell ref="AI166:AP166"/>
    <mergeCell ref="AI122:AP122"/>
    <mergeCell ref="AI144:AP144"/>
    <mergeCell ref="P78:W78"/>
    <mergeCell ref="P100:W100"/>
    <mergeCell ref="Y56:AF5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xr:uid="{00000000-0002-0000-0000-000000000000}">
      <formula1>$AP$10:$AP$11</formula1>
    </dataValidation>
    <dataValidation allowBlank="1" showInputMessage="1" showErrorMessage="1" prompt="0 bedroom, 30% of AMFI" sqref="E26" xr:uid="{00000000-0002-0000-0000-000001000000}"/>
    <dataValidation allowBlank="1" showInputMessage="1" showErrorMessage="1" prompt="0 bedroom, 40% of AMFI" sqref="E27" xr:uid="{00000000-0002-0000-0000-000002000000}"/>
    <dataValidation allowBlank="1" showInputMessage="1" showErrorMessage="1" promptTitle="Project" prompt="Enter the Project Name." sqref="B3:G3" xr:uid="{00000000-0002-0000-0000-000003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4000000}"/>
    <dataValidation allowBlank="1" showInputMessage="1" showErrorMessage="1" prompt="1 person, 30% of AMFI" sqref="E15" xr:uid="{00000000-0002-0000-0000-000005000000}"/>
    <dataValidation allowBlank="1" showInputMessage="1" showErrorMessage="1" prompt="1 person, 40% of AMFI" sqref="E16" xr:uid="{00000000-0002-0000-0000-000006000000}"/>
    <dataValidation allowBlank="1" showInputMessage="1" showErrorMessage="1" prompt="1 person, 50% of AMFI" sqref="E17" xr:uid="{00000000-0002-0000-0000-000007000000}"/>
    <dataValidation allowBlank="1" showInputMessage="1" showErrorMessage="1" prompt="1 person, 60% of AMFI" sqref="E18" xr:uid="{00000000-0002-0000-0000-000008000000}"/>
    <dataValidation allowBlank="1" showInputMessage="1" showErrorMessage="1" prompt="1 person, 80% of AMFI" sqref="E19" xr:uid="{00000000-0002-0000-0000-000009000000}"/>
    <dataValidation allowBlank="1" showInputMessage="1" showErrorMessage="1" prompt="1 person, 120% of AMFI" sqref="E20" xr:uid="{00000000-0002-0000-0000-00000A000000}"/>
    <dataValidation allowBlank="1" showInputMessage="1" showErrorMessage="1" prompt="0 bedroom, 50% of AMFI" sqref="E28" xr:uid="{00000000-0002-0000-0000-00000B000000}"/>
    <dataValidation allowBlank="1" showInputMessage="1" showErrorMessage="1" prompt="0 bedroom, 60% of AMFI" sqref="E29" xr:uid="{00000000-0002-0000-0000-00000C000000}"/>
    <dataValidation allowBlank="1" showInputMessage="1" showErrorMessage="1" prompt="0 bedroom, 65% of AMFI" sqref="E30" xr:uid="{00000000-0002-0000-0000-00000D000000}"/>
    <dataValidation allowBlank="1" showInputMessage="1" showErrorMessage="1" prompt="1 bedroom, 65% of AMFI" sqref="F30" xr:uid="{00000000-0002-0000-0000-00000E000000}"/>
    <dataValidation allowBlank="1" showInputMessage="1" showErrorMessage="1" prompt="2 bedroom, 65% of AMFI" sqref="G30" xr:uid="{00000000-0002-0000-0000-00000F000000}"/>
    <dataValidation allowBlank="1" showInputMessage="1" showErrorMessage="1" prompt="3 bedroom, 65% of AMFI" sqref="H30" xr:uid="{00000000-0002-0000-0000-000010000000}"/>
    <dataValidation allowBlank="1" showInputMessage="1" showErrorMessage="1" prompt="4 bedroom, 65% of AMFI" sqref="I30" xr:uid="{00000000-0002-0000-0000-000011000000}"/>
    <dataValidation allowBlank="1" showInputMessage="1" showErrorMessage="1" prompt="5 bedroom, 65% of AMFI" sqref="J30" xr:uid="{00000000-0002-0000-0000-000012000000}"/>
    <dataValidation allowBlank="1" showInputMessage="1" showErrorMessage="1" prompt="0 bedroom, 80% of AMFI" sqref="E31" xr:uid="{00000000-0002-0000-0000-000013000000}"/>
    <dataValidation allowBlank="1" showInputMessage="1" showErrorMessage="1" prompt="1 bedroom, 80% of AMFI" sqref="F31" xr:uid="{00000000-0002-0000-0000-000014000000}"/>
    <dataValidation allowBlank="1" showInputMessage="1" showErrorMessage="1" prompt="2 bedrooms, 80% of AMFI" sqref="G31" xr:uid="{00000000-0002-0000-0000-000015000000}"/>
    <dataValidation allowBlank="1" showInputMessage="1" showErrorMessage="1" prompt="3 bedroom, 80% of AMFI" sqref="H31" xr:uid="{00000000-0002-0000-0000-000016000000}"/>
    <dataValidation allowBlank="1" showInputMessage="1" showErrorMessage="1" prompt="4 bedroom, 80% of AMFI" sqref="I31" xr:uid="{00000000-0002-0000-0000-000017000000}"/>
    <dataValidation allowBlank="1" showInputMessage="1" showErrorMessage="1" prompt="5 bedroom, 80% of AMFI" sqref="J31" xr:uid="{00000000-0002-0000-0000-000018000000}"/>
    <dataValidation allowBlank="1" showInputMessage="1" showErrorMessage="1" prompt="Area Median Income" sqref="K11" xr:uid="{00000000-0002-0000-0000-000019000000}"/>
    <dataValidation type="list" allowBlank="1" showInputMessage="1" showErrorMessage="1" promptTitle="County" prompt="Enter the County in which the Project is located." sqref="B11" xr:uid="{00000000-0002-0000-0000-00001A000000}">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1B000000}">
      <formula1>$BE$10:$BE$1109</formula1>
    </dataValidation>
    <dataValidation type="list" allowBlank="1" showInputMessage="1" showErrorMessage="1" promptTitle="Financing" prompt="Select the source of financing." sqref="B16" xr:uid="{00000000-0002-0000-0000-00001C000000}">
      <formula1>$AS$10:$AS$16</formula1>
    </dataValidation>
    <dataValidation allowBlank="1" showInputMessage="1" showErrorMessage="1" prompt="For HOME and NSP ONLY; see footnote #4." sqref="S23" xr:uid="{00000000-0002-0000-0000-00001D000000}"/>
    <dataValidation type="list" allowBlank="1" showInputMessage="1" showErrorMessage="1" prompt="Carryover / Determination Notice / Subaward Agreement Date / LURA Date. Review footnote 3 at the bottom of the spreadsheet." sqref="A24:B24" xr:uid="{00000000-0002-0000-0000-00001E000000}">
      <formula1>$AU$10:$AU$30</formula1>
    </dataValidation>
    <dataValidation type="list" allowBlank="1" showInputMessage="1" showErrorMessage="1" promptTitle="Project PIS / LURA Date" prompt="Select the PIS Date for the Project. For  State HTF, select the LURA Date." sqref="B18" xr:uid="{00000000-0002-0000-0000-00001F000000}">
      <formula1>$AU$10:$AU$30</formula1>
    </dataValidation>
    <dataValidation allowBlank="1" showInputMessage="1" showErrorMessage="1" prompt="2 persons, 30% of AMFI" sqref="F15" xr:uid="{00000000-0002-0000-0000-000020000000}"/>
    <dataValidation allowBlank="1" showInputMessage="1" showErrorMessage="1" prompt="3 persons, 30% of AMFI" sqref="G15" xr:uid="{00000000-0002-0000-0000-000021000000}"/>
    <dataValidation allowBlank="1" showInputMessage="1" showErrorMessage="1" prompt="4 persons, 30% of AMFI" sqref="H15" xr:uid="{00000000-0002-0000-0000-000022000000}"/>
    <dataValidation allowBlank="1" showInputMessage="1" showErrorMessage="1" prompt="5 persons, 30% of AMFI" sqref="I15" xr:uid="{00000000-0002-0000-0000-000023000000}"/>
    <dataValidation allowBlank="1" showInputMessage="1" showErrorMessage="1" prompt="6 persons, 30% of AMFI" sqref="J15" xr:uid="{00000000-0002-0000-0000-000024000000}"/>
    <dataValidation allowBlank="1" showInputMessage="1" showErrorMessage="1" prompt="7 persons, 30% of AMFI" sqref="K15" xr:uid="{00000000-0002-0000-0000-000025000000}"/>
    <dataValidation allowBlank="1" showInputMessage="1" showErrorMessage="1" prompt="8 persons, 30% of AMFI" sqref="L15" xr:uid="{00000000-0002-0000-0000-000026000000}"/>
    <dataValidation allowBlank="1" showInputMessage="1" showErrorMessage="1" prompt="2 persons, 40% of AMFI" sqref="F16" xr:uid="{00000000-0002-0000-0000-000027000000}"/>
    <dataValidation allowBlank="1" showInputMessage="1" showErrorMessage="1" prompt="3 persons, 40% of AMFI" sqref="G16" xr:uid="{00000000-0002-0000-0000-000028000000}"/>
    <dataValidation allowBlank="1" showInputMessage="1" showErrorMessage="1" prompt="4 persons, 40% of AMFI" sqref="H16" xr:uid="{00000000-0002-0000-0000-000029000000}"/>
    <dataValidation allowBlank="1" showInputMessage="1" showErrorMessage="1" prompt="5 persons, 40% of AMFI" sqref="I16" xr:uid="{00000000-0002-0000-0000-00002A000000}"/>
    <dataValidation allowBlank="1" showInputMessage="1" showErrorMessage="1" prompt="8 persons,, 40% of AMFI" sqref="L16" xr:uid="{00000000-0002-0000-0000-00002B000000}"/>
    <dataValidation allowBlank="1" showInputMessage="1" showErrorMessage="1" prompt="8 persons,, 50% of AMFI" sqref="L17" xr:uid="{00000000-0002-0000-0000-00002C000000}"/>
    <dataValidation allowBlank="1" showInputMessage="1" showErrorMessage="1" prompt="8 persons,, 60% of AMFI" sqref="L18" xr:uid="{00000000-0002-0000-0000-00002D000000}"/>
    <dataValidation allowBlank="1" showInputMessage="1" showErrorMessage="1" prompt="8 persons,, 80% of AMFI" sqref="L19" xr:uid="{00000000-0002-0000-0000-00002E000000}"/>
    <dataValidation allowBlank="1" showInputMessage="1" showErrorMessage="1" prompt="8 persons,, 120% of AMFI" sqref="L20" xr:uid="{00000000-0002-0000-0000-00002F000000}"/>
    <dataValidation allowBlank="1" showInputMessage="1" showErrorMessage="1" prompt="7 persons, 40% of AMFI" sqref="K16" xr:uid="{00000000-0002-0000-0000-000030000000}"/>
    <dataValidation allowBlank="1" showInputMessage="1" showErrorMessage="1" prompt="7 persons,50% of AMFI" sqref="K17" xr:uid="{00000000-0002-0000-0000-000031000000}"/>
    <dataValidation allowBlank="1" showInputMessage="1" showErrorMessage="1" prompt="7 persons, 60% of AMFI" sqref="K18" xr:uid="{00000000-0002-0000-0000-000032000000}"/>
    <dataValidation allowBlank="1" showInputMessage="1" showErrorMessage="1" prompt="7 persons, 80% of AMFI" sqref="K19" xr:uid="{00000000-0002-0000-0000-000033000000}"/>
    <dataValidation allowBlank="1" showInputMessage="1" showErrorMessage="1" prompt="7 persons, 120% of AMFI" sqref="K20" xr:uid="{00000000-0002-0000-0000-000034000000}"/>
    <dataValidation allowBlank="1" showInputMessage="1" showErrorMessage="1" prompt="6 persons, 40% of AMFI" sqref="J16" xr:uid="{00000000-0002-0000-0000-000035000000}"/>
    <dataValidation allowBlank="1" showInputMessage="1" showErrorMessage="1" prompt="6 persons, 50% of AMFI" sqref="J17" xr:uid="{00000000-0002-0000-0000-000036000000}"/>
    <dataValidation allowBlank="1" showInputMessage="1" showErrorMessage="1" prompt="6 persons, 60% of AMFI" sqref="J18" xr:uid="{00000000-0002-0000-0000-000037000000}"/>
    <dataValidation allowBlank="1" showInputMessage="1" showErrorMessage="1" prompt="6 persons, 80% of AMFI" sqref="J19" xr:uid="{00000000-0002-0000-0000-000038000000}"/>
    <dataValidation allowBlank="1" showInputMessage="1" showErrorMessage="1" prompt="6 persons,120% of AMFI" sqref="J20" xr:uid="{00000000-0002-0000-0000-000039000000}"/>
    <dataValidation allowBlank="1" showInputMessage="1" showErrorMessage="1" prompt="5 persons, 50% of AMFI" sqref="I17" xr:uid="{00000000-0002-0000-0000-00003A000000}"/>
    <dataValidation allowBlank="1" showInputMessage="1" showErrorMessage="1" prompt="5 persons,  60% of AMFI" sqref="I18" xr:uid="{00000000-0002-0000-0000-00003B000000}"/>
    <dataValidation allowBlank="1" showInputMessage="1" showErrorMessage="1" prompt="5 persons, 80% of AMFI" sqref="I19" xr:uid="{00000000-0002-0000-0000-00003C000000}"/>
    <dataValidation allowBlank="1" showInputMessage="1" showErrorMessage="1" prompt="5 persons, 120% of AMFI" sqref="I20" xr:uid="{00000000-0002-0000-0000-00003D000000}"/>
    <dataValidation allowBlank="1" showInputMessage="1" showErrorMessage="1" prompt="4 persons, 50% of AMFI" sqref="H17" xr:uid="{00000000-0002-0000-0000-00003E000000}"/>
    <dataValidation allowBlank="1" showInputMessage="1" showErrorMessage="1" prompt="4 persons,, 60% of AMFI" sqref="H18" xr:uid="{00000000-0002-0000-0000-00003F000000}"/>
    <dataValidation allowBlank="1" showInputMessage="1" showErrorMessage="1" prompt="4 persons, 80% of AMFI" sqref="H19" xr:uid="{00000000-0002-0000-0000-000040000000}"/>
    <dataValidation allowBlank="1" showInputMessage="1" showErrorMessage="1" prompt="4 persons,, 120% of AMFI" sqref="H20" xr:uid="{00000000-0002-0000-0000-000041000000}"/>
    <dataValidation allowBlank="1" showInputMessage="1" showErrorMessage="1" prompt="3 persons,  50% of AMFI" sqref="G17" xr:uid="{00000000-0002-0000-0000-000042000000}"/>
    <dataValidation allowBlank="1" showInputMessage="1" showErrorMessage="1" prompt="3 persons,  60% of AMFI" sqref="G18" xr:uid="{00000000-0002-0000-0000-000043000000}"/>
    <dataValidation allowBlank="1" showInputMessage="1" showErrorMessage="1" prompt="3 persons, 80% of AMFI" sqref="G19" xr:uid="{00000000-0002-0000-0000-000044000000}"/>
    <dataValidation allowBlank="1" showInputMessage="1" showErrorMessage="1" prompt="3 persons,  120% of AMFI" sqref="G20" xr:uid="{00000000-0002-0000-0000-000045000000}"/>
    <dataValidation allowBlank="1" showInputMessage="1" showErrorMessage="1" prompt="2 persons, 50% of AMFI" sqref="F17" xr:uid="{00000000-0002-0000-0000-000046000000}"/>
    <dataValidation allowBlank="1" showInputMessage="1" showErrorMessage="1" prompt="2 persons,  60% of AMFI" sqref="F18" xr:uid="{00000000-0002-0000-0000-000047000000}"/>
    <dataValidation allowBlank="1" showInputMessage="1" showErrorMessage="1" prompt="2 persons, 80% of AMFI" sqref="F19" xr:uid="{00000000-0002-0000-0000-000048000000}"/>
    <dataValidation allowBlank="1" showInputMessage="1" showErrorMessage="1" prompt="2 persons, 120% of AMFI" sqref="F20" xr:uid="{00000000-0002-0000-0000-000049000000}"/>
    <dataValidation allowBlank="1" showInputMessage="1" showErrorMessage="1" prompt="1 bedroom, 30% of AMFI" sqref="F26" xr:uid="{00000000-0002-0000-0000-00004A000000}"/>
    <dataValidation allowBlank="1" showInputMessage="1" showErrorMessage="1" prompt="1 bedroom, 40% of AMFI" sqref="F27" xr:uid="{00000000-0002-0000-0000-00004B000000}"/>
    <dataValidation allowBlank="1" showInputMessage="1" showErrorMessage="1" prompt="1 bedroom, 50% of AMFI" sqref="F28" xr:uid="{00000000-0002-0000-0000-00004C000000}"/>
    <dataValidation allowBlank="1" showInputMessage="1" showErrorMessage="1" prompt="1 bedroom, 60% of AMFI" sqref="F29" xr:uid="{00000000-0002-0000-0000-00004D000000}"/>
    <dataValidation allowBlank="1" showInputMessage="1" showErrorMessage="1" prompt="2 bedrooms, 30% of AMFI" sqref="G26" xr:uid="{00000000-0002-0000-0000-00004E000000}"/>
    <dataValidation allowBlank="1" showInputMessage="1" showErrorMessage="1" prompt="2 bedrooms,  40% of AMFI" sqref="G27" xr:uid="{00000000-0002-0000-0000-00004F000000}"/>
    <dataValidation allowBlank="1" showInputMessage="1" showErrorMessage="1" prompt="2 bedrooms, 50% of AMFI" sqref="G28" xr:uid="{00000000-0002-0000-0000-000050000000}"/>
    <dataValidation allowBlank="1" showInputMessage="1" showErrorMessage="1" prompt="2 bedrooms, 60% of AMFI" sqref="G29" xr:uid="{00000000-0002-0000-0000-000051000000}"/>
    <dataValidation allowBlank="1" showInputMessage="1" showErrorMessage="1" prompt="3 bedroom, 30% of AMFI" sqref="H26" xr:uid="{00000000-0002-0000-0000-000052000000}"/>
    <dataValidation allowBlank="1" showInputMessage="1" showErrorMessage="1" prompt="3 bedroom, 40% of AMFI" sqref="H27" xr:uid="{00000000-0002-0000-0000-000053000000}"/>
    <dataValidation allowBlank="1" showInputMessage="1" showErrorMessage="1" prompt="3 bedroom, 50% of AMFI" sqref="H28" xr:uid="{00000000-0002-0000-0000-000054000000}"/>
    <dataValidation allowBlank="1" showInputMessage="1" showErrorMessage="1" prompt="3 bedroom, 60% of AMFI" sqref="H29" xr:uid="{00000000-0002-0000-0000-000055000000}"/>
    <dataValidation allowBlank="1" showInputMessage="1" showErrorMessage="1" prompt="4 bedroom, 30% of AMFI" sqref="I26" xr:uid="{00000000-0002-0000-0000-000056000000}"/>
    <dataValidation allowBlank="1" showInputMessage="1" showErrorMessage="1" prompt="4 bedroom, 40% of AMFI" sqref="I27" xr:uid="{00000000-0002-0000-0000-000057000000}"/>
    <dataValidation allowBlank="1" showInputMessage="1" showErrorMessage="1" prompt="4 bedroom, 50% of AMFI" sqref="I28" xr:uid="{00000000-0002-0000-0000-000058000000}"/>
    <dataValidation allowBlank="1" showInputMessage="1" showErrorMessage="1" prompt="4 bedroom, 60% of AMFI" sqref="I29" xr:uid="{00000000-0002-0000-0000-000059000000}"/>
    <dataValidation allowBlank="1" showInputMessage="1" showErrorMessage="1" prompt="5 bedroom, 30% of AMFI" sqref="J26" xr:uid="{00000000-0002-0000-0000-00005A000000}"/>
    <dataValidation allowBlank="1" showInputMessage="1" showErrorMessage="1" prompt="5 bedroom, 40% of AMFI" sqref="J27" xr:uid="{00000000-0002-0000-0000-00005B000000}"/>
    <dataValidation allowBlank="1" showInputMessage="1" showErrorMessage="1" prompt="5 bedroom, 50% of AMFI" sqref="J28" xr:uid="{00000000-0002-0000-0000-00005C000000}"/>
    <dataValidation allowBlank="1" showInputMessage="1" showErrorMessage="1" prompt="5 bedroom, 60% of AMFI" sqref="J29" xr:uid="{00000000-0002-0000-0000-00005D000000}"/>
  </dataValidations>
  <hyperlinks>
    <hyperlink ref="N4" location="'Income-Rent Tool'!A33" display="Goto footnotes" xr:uid="{00000000-0004-0000-0000-000000000000}"/>
    <hyperlink ref="A38"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7" orientation="landscape" r:id="rId1"/>
  <headerFooter>
    <oddFooter>&amp;R&amp;9* Revised 5/7/2018</oddFooter>
  </headerFooter>
  <ignoredErrors>
    <ignoredError sqref="F30"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2018-05-07T21:17:29Z</cp:lastPrinted>
  <dcterms:created xsi:type="dcterms:W3CDTF">2011-06-01T13:01:36Z</dcterms:created>
  <dcterms:modified xsi:type="dcterms:W3CDTF">2018-05-07T21:18:32Z</dcterms:modified>
</cp:coreProperties>
</file>