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13_ncr:1_{435E4D12-EB2D-4CC5-A82B-43018F85BE64}"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81029" concurrentCalc="0"/>
</workbook>
</file>

<file path=xl/calcChain.xml><?xml version="1.0" encoding="utf-8"?>
<calcChain xmlns="http://schemas.openxmlformats.org/spreadsheetml/2006/main">
  <c r="AE172" i="1" l="1"/>
  <c r="A200" i="1"/>
  <c r="A199" i="1"/>
  <c r="N172" i="1"/>
  <c r="A172" i="1"/>
  <c r="A171" i="1"/>
  <c r="N144" i="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U172" i="1"/>
  <c r="U144" i="1"/>
  <c r="S228" i="1"/>
  <c r="V172" i="1"/>
  <c r="AF144" i="1"/>
  <c r="AF200" i="1"/>
  <c r="W172" i="1"/>
  <c r="Y172" i="1"/>
  <c r="P172" i="1"/>
  <c r="Q172" i="1"/>
  <c r="AA144" i="1"/>
  <c r="AA172" i="1"/>
  <c r="R144" i="1"/>
  <c r="R172" i="1"/>
  <c r="AE144" i="1"/>
  <c r="AE88" i="1"/>
  <c r="V144" i="1"/>
  <c r="AF172" i="1"/>
  <c r="W144" i="1"/>
  <c r="Y144" i="1"/>
  <c r="Y200" i="1"/>
  <c r="P144" i="1"/>
  <c r="Z144" i="1"/>
  <c r="Z88" i="1"/>
  <c r="Q144" i="1"/>
  <c r="AB144" i="1"/>
  <c r="AB200" i="1"/>
  <c r="AB172" i="1"/>
  <c r="S144" i="1"/>
  <c r="AH144" i="1"/>
  <c r="S172" i="1"/>
  <c r="Z172" i="1"/>
  <c r="AC144" i="1"/>
  <c r="AC88" i="1"/>
  <c r="AC172" i="1"/>
  <c r="T144" i="1"/>
  <c r="T172" i="1"/>
  <c r="AD144" i="1"/>
  <c r="AD172" i="1"/>
  <c r="N224" i="1"/>
  <c r="AF88" i="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c r="Y142" i="1"/>
  <c r="N170" i="1"/>
  <c r="N142" i="1"/>
  <c r="AF142" i="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c r="AA86" i="1"/>
  <c r="AB142" i="1"/>
  <c r="AB198" i="1"/>
  <c r="AC142" i="1"/>
  <c r="AC114" i="1"/>
  <c r="AD142" i="1"/>
  <c r="AD86" i="1"/>
  <c r="AE142" i="1"/>
  <c r="AE198" i="1"/>
  <c r="Z170" i="1"/>
  <c r="AF170" i="1"/>
  <c r="AA170" i="1"/>
  <c r="AE170" i="1"/>
  <c r="Y170" i="1"/>
  <c r="AD170" i="1"/>
  <c r="AB170" i="1"/>
  <c r="AC170" i="1"/>
  <c r="W142" i="1"/>
  <c r="W114" i="1"/>
  <c r="S226" i="1"/>
  <c r="S227" i="1"/>
  <c r="W170" i="1"/>
  <c r="S170" i="1"/>
  <c r="V170" i="1"/>
  <c r="R170" i="1"/>
  <c r="U170" i="1"/>
  <c r="Q170" i="1"/>
  <c r="T170" i="1"/>
  <c r="P170" i="1"/>
  <c r="Q142" i="1"/>
  <c r="Q198" i="1"/>
  <c r="U142" i="1"/>
  <c r="U86" i="1"/>
  <c r="Z198" i="1"/>
  <c r="Z86" i="1"/>
  <c r="Z114" i="1"/>
  <c r="R142" i="1"/>
  <c r="P142" i="1"/>
  <c r="T142" i="1"/>
  <c r="Y86" i="1"/>
  <c r="Y114" i="1"/>
  <c r="Y198" i="1"/>
  <c r="AC86" i="1"/>
  <c r="AD198" i="1"/>
  <c r="V142" i="1"/>
  <c r="S142" i="1"/>
  <c r="AF198" i="1"/>
  <c r="AF86" i="1"/>
  <c r="AF114" i="1"/>
  <c r="N168" i="1"/>
  <c r="A168" i="1"/>
  <c r="A167" i="1"/>
  <c r="AD114" i="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c r="A140" i="1"/>
  <c r="A139" i="1"/>
  <c r="A196" i="1"/>
  <c r="A195" i="1"/>
  <c r="A112" i="1"/>
  <c r="A111" i="1"/>
  <c r="N84" i="1"/>
  <c r="A84" i="1"/>
  <c r="A83" i="1"/>
  <c r="AP144" i="1"/>
  <c r="L144" i="1"/>
  <c r="AO144" i="1"/>
  <c r="K144" i="1"/>
  <c r="AN144" i="1"/>
  <c r="J144" i="1"/>
  <c r="AM144" i="1"/>
  <c r="I144" i="1"/>
  <c r="AL144" i="1"/>
  <c r="H144" i="1"/>
  <c r="AK144" i="1"/>
  <c r="G144" i="1"/>
  <c r="AJ144" i="1"/>
  <c r="F144" i="1"/>
  <c r="AI144" i="1"/>
  <c r="E144" i="1"/>
  <c r="AE140" i="1"/>
  <c r="AE84" i="1"/>
  <c r="Z112" i="1"/>
  <c r="Z196" i="1"/>
  <c r="AC140" i="1"/>
  <c r="AC196" i="1"/>
  <c r="AB140" i="1"/>
  <c r="AB196" i="1"/>
  <c r="Z84" i="1"/>
  <c r="Y140" i="1"/>
  <c r="Y196" i="1"/>
  <c r="AF140" i="1"/>
  <c r="AF196" i="1"/>
  <c r="AA140" i="1"/>
  <c r="AA196" i="1"/>
  <c r="AD140" i="1"/>
  <c r="AD196" i="1"/>
  <c r="AO172" i="1"/>
  <c r="K172" i="1"/>
  <c r="AO200" i="1"/>
  <c r="K200" i="1"/>
  <c r="AO116" i="1"/>
  <c r="K116" i="1"/>
  <c r="AO88" i="1"/>
  <c r="K88" i="1"/>
  <c r="AP172" i="1"/>
  <c r="L172" i="1"/>
  <c r="AP88" i="1"/>
  <c r="L88" i="1"/>
  <c r="AP200" i="1"/>
  <c r="L200" i="1"/>
  <c r="AP116" i="1"/>
  <c r="L116" i="1"/>
  <c r="AJ172" i="1"/>
  <c r="F172" i="1"/>
  <c r="AJ200" i="1"/>
  <c r="F200" i="1"/>
  <c r="AJ88" i="1"/>
  <c r="F88" i="1"/>
  <c r="AJ116" i="1"/>
  <c r="F116" i="1"/>
  <c r="AI200" i="1"/>
  <c r="E200" i="1"/>
  <c r="AI172" i="1"/>
  <c r="E172" i="1"/>
  <c r="AI116" i="1"/>
  <c r="E116" i="1"/>
  <c r="AI88" i="1"/>
  <c r="E88" i="1"/>
  <c r="AK172" i="1"/>
  <c r="G172" i="1"/>
  <c r="AK200" i="1"/>
  <c r="G200" i="1"/>
  <c r="AK88" i="1"/>
  <c r="G88" i="1"/>
  <c r="AK116" i="1"/>
  <c r="G116" i="1"/>
  <c r="AL172" i="1"/>
  <c r="H172" i="1"/>
  <c r="AL200" i="1"/>
  <c r="H200" i="1"/>
  <c r="AL88" i="1"/>
  <c r="H88" i="1"/>
  <c r="AL116" i="1"/>
  <c r="H116" i="1"/>
  <c r="AM200" i="1"/>
  <c r="I200" i="1"/>
  <c r="AM172" i="1"/>
  <c r="I172" i="1"/>
  <c r="AM116" i="1"/>
  <c r="I116" i="1"/>
  <c r="AM88" i="1"/>
  <c r="I88" i="1"/>
  <c r="AN172" i="1"/>
  <c r="J172" i="1"/>
  <c r="AN200" i="1"/>
  <c r="J200" i="1"/>
  <c r="AN116" i="1"/>
  <c r="J116" i="1"/>
  <c r="AN88" i="1"/>
  <c r="J88" i="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c r="G278" i="1"/>
  <c r="AK86" i="1"/>
  <c r="G86" i="1"/>
  <c r="G87" i="1"/>
  <c r="AK114" i="1"/>
  <c r="G114" i="1"/>
  <c r="G115" i="1"/>
  <c r="AK198" i="1"/>
  <c r="G198" i="1"/>
  <c r="G199" i="1"/>
  <c r="AK170" i="1"/>
  <c r="G170" i="1"/>
  <c r="G171" i="1"/>
  <c r="G142" i="1"/>
  <c r="G143" i="1"/>
  <c r="AL198" i="1"/>
  <c r="H198" i="1"/>
  <c r="H199" i="1"/>
  <c r="AL170" i="1"/>
  <c r="H170" i="1"/>
  <c r="H171" i="1"/>
  <c r="AL86" i="1"/>
  <c r="H86" i="1"/>
  <c r="H87" i="1"/>
  <c r="AL114" i="1"/>
  <c r="H114" i="1"/>
  <c r="H115" i="1"/>
  <c r="H142" i="1"/>
  <c r="H143" i="1"/>
  <c r="AO86" i="1"/>
  <c r="K86" i="1"/>
  <c r="K87" i="1"/>
  <c r="AO198" i="1"/>
  <c r="K198" i="1"/>
  <c r="K199" i="1"/>
  <c r="AO170" i="1"/>
  <c r="K170" i="1"/>
  <c r="K171" i="1"/>
  <c r="AO114" i="1"/>
  <c r="K114" i="1"/>
  <c r="K115" i="1"/>
  <c r="K142" i="1"/>
  <c r="K143" i="1"/>
  <c r="AM86" i="1"/>
  <c r="I86" i="1"/>
  <c r="I87" i="1"/>
  <c r="AM114" i="1"/>
  <c r="I114" i="1"/>
  <c r="I115" i="1"/>
  <c r="AM198" i="1"/>
  <c r="I198" i="1"/>
  <c r="I199" i="1"/>
  <c r="AM170" i="1"/>
  <c r="I170" i="1"/>
  <c r="I171" i="1"/>
  <c r="I142" i="1"/>
  <c r="I143" i="1"/>
  <c r="AP198" i="1"/>
  <c r="L198" i="1"/>
  <c r="L199" i="1"/>
  <c r="AP170" i="1"/>
  <c r="L170" i="1"/>
  <c r="L171" i="1"/>
  <c r="AP86" i="1"/>
  <c r="L86" i="1"/>
  <c r="L87" i="1"/>
  <c r="AP114" i="1"/>
  <c r="L114" i="1"/>
  <c r="L115" i="1"/>
  <c r="L142" i="1"/>
  <c r="L143" i="1"/>
  <c r="AJ170" i="1"/>
  <c r="F170" i="1"/>
  <c r="F171" i="1"/>
  <c r="AJ198" i="1"/>
  <c r="F198" i="1"/>
  <c r="F199" i="1"/>
  <c r="AJ114" i="1"/>
  <c r="F114" i="1"/>
  <c r="F115" i="1"/>
  <c r="AJ86" i="1"/>
  <c r="F86" i="1"/>
  <c r="F87" i="1"/>
  <c r="F142" i="1"/>
  <c r="F143" i="1"/>
  <c r="AI86" i="1"/>
  <c r="E86" i="1"/>
  <c r="E87" i="1"/>
  <c r="AI114" i="1"/>
  <c r="E114" i="1"/>
  <c r="E115" i="1"/>
  <c r="AI198" i="1"/>
  <c r="E198" i="1"/>
  <c r="E199" i="1"/>
  <c r="AI170" i="1"/>
  <c r="E170" i="1"/>
  <c r="E171" i="1"/>
  <c r="E142" i="1"/>
  <c r="E143" i="1"/>
  <c r="AN198" i="1"/>
  <c r="J198" i="1"/>
  <c r="J199" i="1"/>
  <c r="AN170" i="1"/>
  <c r="J170" i="1"/>
  <c r="J171" i="1"/>
  <c r="AN86" i="1"/>
  <c r="J86" i="1"/>
  <c r="J87" i="1"/>
  <c r="AN114" i="1"/>
  <c r="J114" i="1"/>
  <c r="J115" i="1"/>
  <c r="J142" i="1"/>
  <c r="J143" i="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c r="I274" i="1"/>
  <c r="I273" i="1"/>
  <c r="F274" i="1"/>
  <c r="F273" i="1"/>
  <c r="F279" i="1"/>
  <c r="I279" i="1"/>
  <c r="E274" i="1"/>
  <c r="E273" i="1"/>
  <c r="E279" i="1"/>
  <c r="H274" i="1"/>
  <c r="H273" i="1"/>
  <c r="L274" i="1"/>
  <c r="L273" i="1"/>
  <c r="H279" i="1"/>
  <c r="G274" i="1"/>
  <c r="G273" i="1"/>
  <c r="K274" i="1"/>
  <c r="K273"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0" i="1"/>
  <c r="K140" i="1"/>
  <c r="K141" i="1"/>
  <c r="AN140" i="1"/>
  <c r="J140" i="1"/>
  <c r="J141" i="1"/>
  <c r="AJ140" i="1"/>
  <c r="F140" i="1"/>
  <c r="F141" i="1"/>
  <c r="AM140" i="1"/>
  <c r="AI140" i="1"/>
  <c r="E140" i="1"/>
  <c r="E141" i="1"/>
  <c r="AP140" i="1"/>
  <c r="L140" i="1"/>
  <c r="L141" i="1"/>
  <c r="AL140" i="1"/>
  <c r="H140" i="1"/>
  <c r="H141" i="1"/>
  <c r="AK140" i="1"/>
  <c r="G140" i="1"/>
  <c r="G141" i="1"/>
  <c r="AB164" i="1"/>
  <c r="F278" i="1"/>
  <c r="J278" i="1"/>
  <c r="I278" i="1"/>
  <c r="H278" i="1"/>
  <c r="E278" i="1"/>
  <c r="T166" i="1"/>
  <c r="Q166" i="1"/>
  <c r="V138" i="1"/>
  <c r="V194" i="1"/>
  <c r="AC138" i="1"/>
  <c r="AC110" i="1"/>
  <c r="Z138" i="1"/>
  <c r="P138" i="1"/>
  <c r="S138" i="1"/>
  <c r="W138" i="1"/>
  <c r="W194" i="1"/>
  <c r="U138" i="1"/>
  <c r="U194" i="1"/>
  <c r="S166" i="1"/>
  <c r="Y138" i="1"/>
  <c r="Y110" i="1"/>
  <c r="AB166" i="1"/>
  <c r="S222" i="1"/>
  <c r="S223" i="1"/>
  <c r="AA166" i="1"/>
  <c r="P166" i="1"/>
  <c r="AD138" i="1"/>
  <c r="AE138" i="1"/>
  <c r="Z166" i="1"/>
  <c r="AA138" i="1"/>
  <c r="AD166" i="1"/>
  <c r="R166" i="1"/>
  <c r="AE166" i="1"/>
  <c r="Q138" i="1"/>
  <c r="Q110" i="1"/>
  <c r="AF166" i="1"/>
  <c r="V166" i="1"/>
  <c r="R138" i="1"/>
  <c r="R110" i="1"/>
  <c r="Y166" i="1"/>
  <c r="U166" i="1"/>
  <c r="AB138" i="1"/>
  <c r="AB194" i="1"/>
  <c r="T138" i="1"/>
  <c r="T194" i="1"/>
  <c r="W166" i="1"/>
  <c r="AC166" i="1"/>
  <c r="AF138" i="1"/>
  <c r="AF82" i="1"/>
  <c r="U136" i="1"/>
  <c r="U80" i="1"/>
  <c r="S220" i="1"/>
  <c r="A184" i="27"/>
  <c r="AA164" i="1"/>
  <c r="A71" i="27"/>
  <c r="A39" i="27"/>
  <c r="AF136" i="1"/>
  <c r="AF192" i="1"/>
  <c r="AB136" i="1"/>
  <c r="AB192" i="1"/>
  <c r="AE164" i="1"/>
  <c r="U164" i="1"/>
  <c r="AF164" i="1"/>
  <c r="AE136" i="1"/>
  <c r="AE192" i="1"/>
  <c r="Y136" i="1"/>
  <c r="Y192" i="1"/>
  <c r="AC136" i="1"/>
  <c r="AC80" i="1"/>
  <c r="Y164" i="1"/>
  <c r="AC164" i="1"/>
  <c r="AA136" i="1"/>
  <c r="AA192" i="1"/>
  <c r="Z136" i="1"/>
  <c r="Z108" i="1"/>
  <c r="AD136" i="1"/>
  <c r="AD192" i="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c r="I22" i="1"/>
  <c r="BI218" i="1"/>
  <c r="BI217" i="1"/>
  <c r="BI216" i="1"/>
  <c r="N258" i="1"/>
  <c r="L258" i="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c r="BI190" i="1"/>
  <c r="N234" i="1"/>
  <c r="I235" i="1"/>
  <c r="BI189" i="1"/>
  <c r="N233" i="1"/>
  <c r="H234" i="1"/>
  <c r="BI188" i="1"/>
  <c r="N232" i="1"/>
  <c r="K232" i="1"/>
  <c r="BI187" i="1"/>
  <c r="BI184" i="1"/>
  <c r="BI183" i="1"/>
  <c r="BI182" i="1"/>
  <c r="N218" i="1"/>
  <c r="S218" i="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c r="G251" i="1"/>
  <c r="E251" i="1"/>
  <c r="I244" i="1"/>
  <c r="G244" i="1"/>
  <c r="E244" i="1"/>
  <c r="J250" i="1"/>
  <c r="H250" i="1"/>
  <c r="F250" i="1"/>
  <c r="J243" i="1"/>
  <c r="H243" i="1"/>
  <c r="F243" i="1"/>
  <c r="I250" i="1"/>
  <c r="G250" i="1"/>
  <c r="E250" i="1"/>
  <c r="I243" i="1"/>
  <c r="G243" i="1"/>
  <c r="E243" i="1"/>
  <c r="J251" i="1"/>
  <c r="H251" i="1"/>
  <c r="F251" i="1"/>
  <c r="J244" i="1"/>
  <c r="H244" i="1"/>
  <c r="F244" i="1"/>
  <c r="AK168" i="1"/>
  <c r="G168" i="1"/>
  <c r="G169" i="1"/>
  <c r="AK112" i="1"/>
  <c r="G112" i="1"/>
  <c r="G113" i="1"/>
  <c r="AK196" i="1"/>
  <c r="G196" i="1"/>
  <c r="G197" i="1"/>
  <c r="AK84" i="1"/>
  <c r="G84" i="1"/>
  <c r="G85" i="1"/>
  <c r="AL196" i="1"/>
  <c r="H196" i="1"/>
  <c r="H197" i="1"/>
  <c r="AL168" i="1"/>
  <c r="H168" i="1"/>
  <c r="H169" i="1"/>
  <c r="AL84" i="1"/>
  <c r="H84" i="1"/>
  <c r="H85" i="1"/>
  <c r="AL112" i="1"/>
  <c r="H112" i="1"/>
  <c r="H113" i="1"/>
  <c r="AP112" i="1"/>
  <c r="L112" i="1"/>
  <c r="L113" i="1"/>
  <c r="AP84" i="1"/>
  <c r="L84" i="1"/>
  <c r="L85" i="1"/>
  <c r="AP168" i="1"/>
  <c r="L168" i="1"/>
  <c r="L169" i="1"/>
  <c r="AP196" i="1"/>
  <c r="L196" i="1"/>
  <c r="L197" i="1"/>
  <c r="AN196" i="1"/>
  <c r="J196" i="1"/>
  <c r="J197" i="1"/>
  <c r="AN168" i="1"/>
  <c r="J168" i="1"/>
  <c r="J169" i="1"/>
  <c r="AN112" i="1"/>
  <c r="J112" i="1"/>
  <c r="J113" i="1"/>
  <c r="AN84" i="1"/>
  <c r="J84" i="1"/>
  <c r="J85" i="1"/>
  <c r="I140" i="1"/>
  <c r="I141" i="1"/>
  <c r="AM168" i="1"/>
  <c r="I168" i="1"/>
  <c r="I169" i="1"/>
  <c r="AM196" i="1"/>
  <c r="I196" i="1"/>
  <c r="I197" i="1"/>
  <c r="AM84" i="1"/>
  <c r="I84" i="1"/>
  <c r="I85" i="1"/>
  <c r="AM112" i="1"/>
  <c r="I112" i="1"/>
  <c r="I113" i="1"/>
  <c r="AJ112" i="1"/>
  <c r="F112" i="1"/>
  <c r="F113" i="1"/>
  <c r="AJ84" i="1"/>
  <c r="F84" i="1"/>
  <c r="F85" i="1"/>
  <c r="AJ196" i="1"/>
  <c r="F196" i="1"/>
  <c r="F197" i="1"/>
  <c r="AJ168" i="1"/>
  <c r="F168" i="1"/>
  <c r="F169" i="1"/>
  <c r="AI168" i="1"/>
  <c r="E168" i="1"/>
  <c r="E169" i="1"/>
  <c r="AI84" i="1"/>
  <c r="E84" i="1"/>
  <c r="E85" i="1"/>
  <c r="AI196" i="1"/>
  <c r="E196" i="1"/>
  <c r="E197" i="1"/>
  <c r="AI112" i="1"/>
  <c r="E112" i="1"/>
  <c r="E113" i="1"/>
  <c r="AO196" i="1"/>
  <c r="K196" i="1"/>
  <c r="K197" i="1"/>
  <c r="AO84" i="1"/>
  <c r="K84" i="1"/>
  <c r="K85" i="1"/>
  <c r="AO168" i="1"/>
  <c r="K168" i="1"/>
  <c r="K169" i="1"/>
  <c r="AO112" i="1"/>
  <c r="K112" i="1"/>
  <c r="K113" i="1"/>
  <c r="W110" i="1"/>
  <c r="W82" i="1"/>
  <c r="AC194" i="1"/>
  <c r="AC82" i="1"/>
  <c r="AH138" i="1"/>
  <c r="AI138" i="1"/>
  <c r="E138" i="1"/>
  <c r="E139" i="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c r="J236" i="1"/>
  <c r="I258" i="1"/>
  <c r="I260" i="1"/>
  <c r="A139" i="8"/>
  <c r="A9" i="9"/>
  <c r="A30" i="9"/>
  <c r="A52" i="9"/>
  <c r="A73" i="9"/>
  <c r="A94" i="9"/>
  <c r="A20" i="9"/>
  <c r="A41" i="9"/>
  <c r="A84" i="9"/>
  <c r="I232" i="1"/>
  <c r="F258" i="1"/>
  <c r="F256" i="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c r="I236" i="1"/>
  <c r="E258" i="1"/>
  <c r="E260" i="1"/>
  <c r="K258" i="1"/>
  <c r="K259" i="1"/>
  <c r="A43" i="8"/>
  <c r="A107" i="8"/>
  <c r="A172" i="8"/>
  <c r="A236" i="8"/>
  <c r="A6" i="9"/>
  <c r="A12" i="9"/>
  <c r="A17" i="9"/>
  <c r="A22" i="9"/>
  <c r="A28" i="9"/>
  <c r="A33" i="9"/>
  <c r="A38" i="9"/>
  <c r="A44" i="9"/>
  <c r="A49" i="9"/>
  <c r="A54" i="9"/>
  <c r="A60" i="9"/>
  <c r="A65" i="9"/>
  <c r="A70" i="9"/>
  <c r="A76" i="9"/>
  <c r="A81" i="9"/>
  <c r="A86" i="9"/>
  <c r="A92" i="9"/>
  <c r="A97" i="9"/>
  <c r="G232" i="1"/>
  <c r="J258" i="1"/>
  <c r="J259" i="1"/>
  <c r="A27" i="8"/>
  <c r="A91" i="8"/>
  <c r="A156" i="8"/>
  <c r="A220" i="8"/>
  <c r="A5" i="9"/>
  <c r="A10" i="9"/>
  <c r="A16" i="9"/>
  <c r="A21" i="9"/>
  <c r="A26" i="9"/>
  <c r="A32" i="9"/>
  <c r="A37" i="9"/>
  <c r="A42" i="9"/>
  <c r="A48" i="9"/>
  <c r="A53" i="9"/>
  <c r="A58" i="9"/>
  <c r="A64" i="9"/>
  <c r="A69" i="9"/>
  <c r="A74" i="9"/>
  <c r="A80" i="9"/>
  <c r="A85" i="9"/>
  <c r="A90" i="9"/>
  <c r="A96" i="9"/>
  <c r="H258" i="1"/>
  <c r="H256"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c r="G234" i="1"/>
  <c r="L234" i="1"/>
  <c r="L233" i="1"/>
  <c r="G235" i="1"/>
  <c r="K235" i="1"/>
  <c r="G261" i="1"/>
  <c r="G22" i="1"/>
  <c r="K234" i="1"/>
  <c r="J234" i="1"/>
  <c r="J235" i="1"/>
  <c r="F261" i="1"/>
  <c r="F22" i="1"/>
  <c r="K261" i="1"/>
  <c r="K22" i="1"/>
  <c r="H235" i="1"/>
  <c r="L261" i="1"/>
  <c r="L22" i="1"/>
  <c r="F234" i="1"/>
  <c r="F235" i="1"/>
  <c r="E235" i="1"/>
  <c r="S216" i="1"/>
  <c r="S217" i="1"/>
  <c r="E234" i="1"/>
  <c r="I234" i="1"/>
  <c r="H236" i="1"/>
  <c r="G236" i="1"/>
  <c r="G258" i="1"/>
  <c r="E261" i="1"/>
  <c r="E22" i="1"/>
  <c r="A183" i="1"/>
  <c r="BI152" i="1"/>
  <c r="A182" i="1"/>
  <c r="BI151" i="1"/>
  <c r="A181" i="1"/>
  <c r="BI150" i="1"/>
  <c r="A180" i="1"/>
  <c r="BI149" i="1"/>
  <c r="A179" i="1"/>
  <c r="BI148" i="1"/>
  <c r="N178" i="1"/>
  <c r="A178" i="1"/>
  <c r="BI147" i="1"/>
  <c r="A177" i="1"/>
  <c r="BI146" i="1"/>
  <c r="N176" i="1"/>
  <c r="A176" i="1"/>
  <c r="BI145" i="1"/>
  <c r="N175" i="1"/>
  <c r="U175" i="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c r="E248" i="1"/>
  <c r="E241" i="1"/>
  <c r="J261" i="1"/>
  <c r="J22" i="1"/>
  <c r="AJ138" i="1"/>
  <c r="AJ110" i="1"/>
  <c r="F110" i="1"/>
  <c r="F111" i="1"/>
  <c r="AP138" i="1"/>
  <c r="AP82" i="1"/>
  <c r="L82" i="1"/>
  <c r="L83" i="1"/>
  <c r="AL138" i="1"/>
  <c r="AL110" i="1"/>
  <c r="H110" i="1"/>
  <c r="H111" i="1"/>
  <c r="AO138" i="1"/>
  <c r="AO166" i="1"/>
  <c r="K166" i="1"/>
  <c r="K167" i="1"/>
  <c r="AN138" i="1"/>
  <c r="J138" i="1"/>
  <c r="J139" i="1"/>
  <c r="AK138" i="1"/>
  <c r="G138" i="1"/>
  <c r="G139" i="1"/>
  <c r="AM138" i="1"/>
  <c r="AM110" i="1"/>
  <c r="I110" i="1"/>
  <c r="I111" i="1"/>
  <c r="AI82" i="1"/>
  <c r="E82" i="1"/>
  <c r="E83" i="1"/>
  <c r="AI194" i="1"/>
  <c r="E194" i="1"/>
  <c r="E195" i="1"/>
  <c r="AI166" i="1"/>
  <c r="E166" i="1"/>
  <c r="E167" i="1"/>
  <c r="AI110" i="1"/>
  <c r="E110" i="1"/>
  <c r="E111" i="1"/>
  <c r="AL136" i="1"/>
  <c r="AL108" i="1"/>
  <c r="H108" i="1"/>
  <c r="AJ136" i="1"/>
  <c r="F136" i="1"/>
  <c r="AM136" i="1"/>
  <c r="I136" i="1"/>
  <c r="AN136" i="1"/>
  <c r="AN192" i="1"/>
  <c r="J192" i="1"/>
  <c r="AP136" i="1"/>
  <c r="AP80" i="1"/>
  <c r="L80" i="1"/>
  <c r="AI136" i="1"/>
  <c r="AI80" i="1"/>
  <c r="E80" i="1"/>
  <c r="AO136" i="1"/>
  <c r="K136" i="1"/>
  <c r="S213" i="1"/>
  <c r="S209" i="1"/>
  <c r="R160" i="1"/>
  <c r="Q160" i="1"/>
  <c r="S211" i="1"/>
  <c r="AB160" i="1"/>
  <c r="W160" i="1"/>
  <c r="H241" i="1"/>
  <c r="H248" i="1"/>
  <c r="I256" i="1"/>
  <c r="I257" i="1"/>
  <c r="K257" i="1"/>
  <c r="AK192" i="1"/>
  <c r="G192" i="1"/>
  <c r="G136" i="1"/>
  <c r="AK80" i="1"/>
  <c r="G80" i="1"/>
  <c r="AK164" i="1"/>
  <c r="G164" i="1"/>
  <c r="AK108" i="1"/>
  <c r="G108" i="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c r="J233" i="1"/>
  <c r="G260" i="1"/>
  <c r="F260" i="1"/>
  <c r="G259" i="1"/>
  <c r="G256" i="1"/>
  <c r="S176" i="1"/>
  <c r="W176" i="1"/>
  <c r="R176" i="1"/>
  <c r="V176" i="1"/>
  <c r="T175" i="1"/>
  <c r="Q176" i="1"/>
  <c r="U176" i="1"/>
  <c r="S175" i="1"/>
  <c r="R175" i="1"/>
  <c r="W175" i="1"/>
  <c r="L175" i="1"/>
  <c r="P176" i="1"/>
  <c r="S178" i="1"/>
  <c r="G257" i="1"/>
  <c r="A160" i="1"/>
  <c r="BI135" i="1"/>
  <c r="A159" i="1"/>
  <c r="BI134" i="1"/>
  <c r="N158" i="1"/>
  <c r="W158" i="1"/>
  <c r="A158" i="1"/>
  <c r="BI133" i="1"/>
  <c r="J136" i="1"/>
  <c r="J137" i="1"/>
  <c r="L81" i="1"/>
  <c r="AJ194" i="1"/>
  <c r="F194" i="1"/>
  <c r="F195" i="1"/>
  <c r="AP110" i="1"/>
  <c r="L110" i="1"/>
  <c r="L111" i="1"/>
  <c r="AM166" i="1"/>
  <c r="I166" i="1"/>
  <c r="I167" i="1"/>
  <c r="AP166" i="1"/>
  <c r="L166" i="1"/>
  <c r="L167" i="1"/>
  <c r="L138" i="1"/>
  <c r="L139" i="1"/>
  <c r="AP194" i="1"/>
  <c r="L194" i="1"/>
  <c r="L195" i="1"/>
  <c r="AN110" i="1"/>
  <c r="J110" i="1"/>
  <c r="J111" i="1"/>
  <c r="AN82" i="1"/>
  <c r="J82" i="1"/>
  <c r="J83" i="1"/>
  <c r="AJ166" i="1"/>
  <c r="F166" i="1"/>
  <c r="F167" i="1"/>
  <c r="AJ82" i="1"/>
  <c r="F82" i="1"/>
  <c r="F83" i="1"/>
  <c r="F138" i="1"/>
  <c r="AL82" i="1"/>
  <c r="H82" i="1"/>
  <c r="H83" i="1"/>
  <c r="AN194" i="1"/>
  <c r="J194" i="1"/>
  <c r="AL194" i="1"/>
  <c r="H194" i="1"/>
  <c r="H195" i="1"/>
  <c r="H138" i="1"/>
  <c r="H139" i="1"/>
  <c r="AL166" i="1"/>
  <c r="H166" i="1"/>
  <c r="H167" i="1"/>
  <c r="AM194" i="1"/>
  <c r="I194" i="1"/>
  <c r="I195" i="1"/>
  <c r="AM82" i="1"/>
  <c r="I82" i="1"/>
  <c r="I83" i="1"/>
  <c r="AK82" i="1"/>
  <c r="G82" i="1"/>
  <c r="AO194" i="1"/>
  <c r="K194" i="1"/>
  <c r="K195" i="1"/>
  <c r="I138" i="1"/>
  <c r="G137" i="1"/>
  <c r="K138" i="1"/>
  <c r="AK194" i="1"/>
  <c r="G194" i="1"/>
  <c r="AN166" i="1"/>
  <c r="J166" i="1"/>
  <c r="J167" i="1"/>
  <c r="AO110" i="1"/>
  <c r="K110" i="1"/>
  <c r="K111" i="1"/>
  <c r="AK166" i="1"/>
  <c r="G166" i="1"/>
  <c r="AO82" i="1"/>
  <c r="K82" i="1"/>
  <c r="K83" i="1"/>
  <c r="AK110" i="1"/>
  <c r="G110" i="1"/>
  <c r="AO192" i="1"/>
  <c r="K192" i="1"/>
  <c r="AN108" i="1"/>
  <c r="J108" i="1"/>
  <c r="H109" i="1"/>
  <c r="E81" i="1"/>
  <c r="AO80" i="1"/>
  <c r="K80" i="1"/>
  <c r="E136" i="1"/>
  <c r="E137" i="1"/>
  <c r="AM80" i="1"/>
  <c r="I80" i="1"/>
  <c r="AN80" i="1"/>
  <c r="J80" i="1"/>
  <c r="AM108" i="1"/>
  <c r="I108" i="1"/>
  <c r="I109" i="1"/>
  <c r="AN164" i="1"/>
  <c r="J164" i="1"/>
  <c r="AJ192" i="1"/>
  <c r="F192" i="1"/>
  <c r="AL192" i="1"/>
  <c r="H192" i="1"/>
  <c r="H136" i="1"/>
  <c r="AP108" i="1"/>
  <c r="L108" i="1"/>
  <c r="AP164" i="1"/>
  <c r="L164" i="1"/>
  <c r="AO164" i="1"/>
  <c r="K164" i="1"/>
  <c r="K165" i="1"/>
  <c r="AJ80" i="1"/>
  <c r="F80" i="1"/>
  <c r="AM192" i="1"/>
  <c r="I192" i="1"/>
  <c r="AJ108" i="1"/>
  <c r="F108" i="1"/>
  <c r="F109" i="1"/>
  <c r="AI108" i="1"/>
  <c r="E108" i="1"/>
  <c r="E109" i="1"/>
  <c r="AO108" i="1"/>
  <c r="K108" i="1"/>
  <c r="AM164" i="1"/>
  <c r="I164" i="1"/>
  <c r="AI192" i="1"/>
  <c r="E192" i="1"/>
  <c r="E193" i="1"/>
  <c r="AL164" i="1"/>
  <c r="H164" i="1"/>
  <c r="AP192" i="1"/>
  <c r="L192" i="1"/>
  <c r="AL80" i="1"/>
  <c r="H80" i="1"/>
  <c r="AJ164" i="1"/>
  <c r="F164" i="1"/>
  <c r="L136" i="1"/>
  <c r="AI164" i="1"/>
  <c r="E164" i="1"/>
  <c r="E165" i="1"/>
  <c r="K175" i="1"/>
  <c r="J175" i="1"/>
  <c r="I175" i="1"/>
  <c r="H175" i="1"/>
  <c r="F248" i="1"/>
  <c r="F241" i="1"/>
  <c r="V158" i="1"/>
  <c r="AB158" i="1"/>
  <c r="AF158" i="1"/>
  <c r="U158" i="1"/>
  <c r="AA158" i="1"/>
  <c r="AE158" i="1"/>
  <c r="R158" i="1"/>
  <c r="Z158" i="1"/>
  <c r="AD158" i="1"/>
  <c r="Q158" i="1"/>
  <c r="Y158" i="1"/>
  <c r="AC158" i="1"/>
  <c r="J242" i="1"/>
  <c r="G175" i="1"/>
  <c r="F175" i="1"/>
  <c r="E175" i="1"/>
  <c r="P158" i="1"/>
  <c r="T158" i="1"/>
  <c r="I233" i="1"/>
  <c r="I249" i="1"/>
  <c r="I242" i="1"/>
  <c r="S158" i="1"/>
  <c r="A157" i="1"/>
  <c r="BI132" i="1"/>
  <c r="N156" i="1"/>
  <c r="T156" i="1"/>
  <c r="A156" i="1"/>
  <c r="BI131" i="1"/>
  <c r="A155" i="1"/>
  <c r="BI130" i="1"/>
  <c r="G165" i="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c r="AD156" i="1"/>
  <c r="AC156" i="1"/>
  <c r="AB156" i="1"/>
  <c r="AF156" i="1"/>
  <c r="AA156" i="1"/>
  <c r="AE156" i="1"/>
  <c r="H233" i="1"/>
  <c r="G233" i="1"/>
  <c r="S156" i="1"/>
  <c r="W156" i="1"/>
  <c r="R156" i="1"/>
  <c r="V156" i="1"/>
  <c r="Q156" i="1"/>
  <c r="U156" i="1"/>
  <c r="P156" i="1"/>
  <c r="N154" i="1"/>
  <c r="U154" i="1"/>
  <c r="A154" i="1"/>
  <c r="BI129" i="1"/>
  <c r="A153" i="1"/>
  <c r="BI128" i="1"/>
  <c r="N152" i="1"/>
  <c r="W152" i="1"/>
  <c r="A152" i="1"/>
  <c r="BI127" i="1"/>
  <c r="A151" i="1"/>
  <c r="BI126" i="1"/>
  <c r="N150" i="1"/>
  <c r="W150" i="1"/>
  <c r="A150" i="1"/>
  <c r="BI125" i="1"/>
  <c r="A149" i="1"/>
  <c r="N148" i="1"/>
  <c r="W148" i="1"/>
  <c r="A148" i="1"/>
  <c r="N147" i="1"/>
  <c r="V147" i="1"/>
  <c r="B147" i="1"/>
  <c r="A147" i="1"/>
  <c r="BI122" i="1"/>
  <c r="BI121" i="1"/>
  <c r="BI118" i="1"/>
  <c r="BI117" i="1"/>
  <c r="BI116" i="1"/>
  <c r="AF134" i="1"/>
  <c r="AF190" i="1"/>
  <c r="AE134" i="1"/>
  <c r="AE190" i="1"/>
  <c r="AD134" i="1"/>
  <c r="AD190" i="1"/>
  <c r="AC134" i="1"/>
  <c r="AC190" i="1"/>
  <c r="AB134" i="1"/>
  <c r="AB190" i="1"/>
  <c r="AA134" i="1"/>
  <c r="AA190" i="1"/>
  <c r="Z134" i="1"/>
  <c r="Z190" i="1"/>
  <c r="Y134" i="1"/>
  <c r="Y190" i="1"/>
  <c r="W134" i="1"/>
  <c r="V134" i="1"/>
  <c r="V190" i="1"/>
  <c r="U134" i="1"/>
  <c r="U190" i="1"/>
  <c r="T134" i="1"/>
  <c r="T190" i="1"/>
  <c r="S134" i="1"/>
  <c r="R134" i="1"/>
  <c r="R190" i="1"/>
  <c r="Q134" i="1"/>
  <c r="Q190" i="1"/>
  <c r="P134" i="1"/>
  <c r="P190" i="1"/>
  <c r="A134" i="1"/>
  <c r="BI115" i="1"/>
  <c r="A133" i="1"/>
  <c r="BI114" i="1"/>
  <c r="N132" i="1"/>
  <c r="T132" i="1"/>
  <c r="T188" i="1"/>
  <c r="A132" i="1"/>
  <c r="BI113" i="1"/>
  <c r="A131" i="1"/>
  <c r="BI112" i="1"/>
  <c r="AH130" i="1"/>
  <c r="AK130" i="1"/>
  <c r="N130" i="1"/>
  <c r="U130" i="1"/>
  <c r="U186" i="1"/>
  <c r="A130" i="1"/>
  <c r="BI111" i="1"/>
  <c r="A129" i="1"/>
  <c r="BI110" i="1"/>
  <c r="AH128" i="1"/>
  <c r="AN128" i="1"/>
  <c r="N128" i="1"/>
  <c r="U128" i="1"/>
  <c r="U184" i="1"/>
  <c r="A128" i="1"/>
  <c r="BI109" i="1"/>
  <c r="A127" i="1"/>
  <c r="BI108" i="1"/>
  <c r="AA152" i="1"/>
  <c r="AE132" i="1"/>
  <c r="AE188" i="1"/>
  <c r="Y132" i="1"/>
  <c r="Y188" i="1"/>
  <c r="AE154" i="1"/>
  <c r="P152" i="1"/>
  <c r="P154" i="1"/>
  <c r="R150" i="1"/>
  <c r="Q150" i="1"/>
  <c r="U152" i="1"/>
  <c r="T154" i="1"/>
  <c r="AB130" i="1"/>
  <c r="AB186" i="1"/>
  <c r="AA128" i="1"/>
  <c r="AA184" i="1"/>
  <c r="AB132" i="1"/>
  <c r="AB188" i="1"/>
  <c r="R148" i="1"/>
  <c r="P128" i="1"/>
  <c r="P184" i="1"/>
  <c r="AE128" i="1"/>
  <c r="AE184" i="1"/>
  <c r="P130" i="1"/>
  <c r="P186" i="1"/>
  <c r="AF130" i="1"/>
  <c r="AF186" i="1"/>
  <c r="AA132" i="1"/>
  <c r="Z132" i="1"/>
  <c r="Z188" i="1"/>
  <c r="AF132" i="1"/>
  <c r="AF188" i="1"/>
  <c r="Q148" i="1"/>
  <c r="AE152" i="1"/>
  <c r="AA154" i="1"/>
  <c r="AB128" i="1"/>
  <c r="AB184" i="1"/>
  <c r="AA130" i="1"/>
  <c r="AA186" i="1"/>
  <c r="AD132" i="1"/>
  <c r="T128" i="1"/>
  <c r="T184" i="1"/>
  <c r="AF128" i="1"/>
  <c r="T130" i="1"/>
  <c r="T186" i="1"/>
  <c r="AB154" i="1"/>
  <c r="Z152" i="1"/>
  <c r="V148" i="1"/>
  <c r="V150" i="1"/>
  <c r="R152" i="1"/>
  <c r="Y152" i="1"/>
  <c r="AC152" i="1"/>
  <c r="Z154" i="1"/>
  <c r="AD154" i="1"/>
  <c r="T152" i="1"/>
  <c r="AD152" i="1"/>
  <c r="Z128" i="1"/>
  <c r="Z184" i="1"/>
  <c r="AD128" i="1"/>
  <c r="AD184" i="1"/>
  <c r="Z130" i="1"/>
  <c r="Z186" i="1"/>
  <c r="AE130" i="1"/>
  <c r="AE186" i="1"/>
  <c r="Y128" i="1"/>
  <c r="Y184" i="1"/>
  <c r="AC128" i="1"/>
  <c r="AC184" i="1"/>
  <c r="Y130" i="1"/>
  <c r="Y186" i="1"/>
  <c r="AD130" i="1"/>
  <c r="AD186" i="1"/>
  <c r="AC132" i="1"/>
  <c r="U148" i="1"/>
  <c r="U150" i="1"/>
  <c r="Q152" i="1"/>
  <c r="V152" i="1"/>
  <c r="AB152" i="1"/>
  <c r="AF152" i="1"/>
  <c r="Y154" i="1"/>
  <c r="AC154" i="1"/>
  <c r="S190" i="1"/>
  <c r="W190" i="1"/>
  <c r="R132" i="1"/>
  <c r="R188" i="1"/>
  <c r="V132" i="1"/>
  <c r="V188" i="1"/>
  <c r="R147" i="1"/>
  <c r="W147" i="1"/>
  <c r="L147" i="1"/>
  <c r="K147" i="1"/>
  <c r="S154" i="1"/>
  <c r="W154" i="1"/>
  <c r="H249" i="1"/>
  <c r="R128" i="1"/>
  <c r="R184" i="1"/>
  <c r="V128" i="1"/>
  <c r="V184" i="1"/>
  <c r="AM128" i="1"/>
  <c r="AM184" i="1"/>
  <c r="R130" i="1"/>
  <c r="V130" i="1"/>
  <c r="V186" i="1"/>
  <c r="Q132" i="1"/>
  <c r="Q188" i="1"/>
  <c r="U132" i="1"/>
  <c r="U188" i="1"/>
  <c r="AD188" i="1"/>
  <c r="Q147" i="1"/>
  <c r="P148" i="1"/>
  <c r="T148" i="1"/>
  <c r="P150" i="1"/>
  <c r="T150" i="1"/>
  <c r="S152" i="1"/>
  <c r="R154" i="1"/>
  <c r="V154" i="1"/>
  <c r="H242" i="1"/>
  <c r="F233" i="1"/>
  <c r="E233" i="1"/>
  <c r="G249" i="1"/>
  <c r="G242" i="1"/>
  <c r="S132" i="1"/>
  <c r="S188" i="1"/>
  <c r="W132" i="1"/>
  <c r="W188" i="1"/>
  <c r="T147" i="1"/>
  <c r="S147" i="1"/>
  <c r="S128" i="1"/>
  <c r="S184" i="1"/>
  <c r="W128" i="1"/>
  <c r="W184" i="1"/>
  <c r="S130" i="1"/>
  <c r="S186" i="1"/>
  <c r="W130" i="1"/>
  <c r="W186" i="1"/>
  <c r="Q128" i="1"/>
  <c r="Q184" i="1"/>
  <c r="AI128" i="1"/>
  <c r="Q130" i="1"/>
  <c r="Q186" i="1"/>
  <c r="P132" i="1"/>
  <c r="P188" i="1"/>
  <c r="P147" i="1"/>
  <c r="U147" i="1"/>
  <c r="S148" i="1"/>
  <c r="S150" i="1"/>
  <c r="Q154" i="1"/>
  <c r="AC130" i="1"/>
  <c r="AC186" i="1"/>
  <c r="AN184" i="1"/>
  <c r="AN156" i="1"/>
  <c r="AK186" i="1"/>
  <c r="AK158" i="1"/>
  <c r="AL130" i="1"/>
  <c r="AP130" i="1"/>
  <c r="AL128" i="1"/>
  <c r="AP128" i="1"/>
  <c r="AO130" i="1"/>
  <c r="AK128" i="1"/>
  <c r="AO128" i="1"/>
  <c r="AJ130" i="1"/>
  <c r="AN130" i="1"/>
  <c r="AJ128" i="1"/>
  <c r="AI130" i="1"/>
  <c r="AM130" i="1"/>
  <c r="N126" i="1"/>
  <c r="U126" i="1"/>
  <c r="U182" i="1"/>
  <c r="A126" i="1"/>
  <c r="BI107" i="1"/>
  <c r="J128" i="1"/>
  <c r="E128" i="1"/>
  <c r="G130" i="1"/>
  <c r="AM156" i="1"/>
  <c r="AC188" i="1"/>
  <c r="I128" i="1"/>
  <c r="AA188" i="1"/>
  <c r="P126" i="1"/>
  <c r="AA126" i="1"/>
  <c r="AA182" i="1"/>
  <c r="AE126" i="1"/>
  <c r="AE182" i="1"/>
  <c r="Y126" i="1"/>
  <c r="Y182" i="1"/>
  <c r="AC126" i="1"/>
  <c r="AC182" i="1"/>
  <c r="AI156" i="1"/>
  <c r="Z126" i="1"/>
  <c r="Z182" i="1"/>
  <c r="AD126" i="1"/>
  <c r="AD182" i="1"/>
  <c r="T126" i="1"/>
  <c r="T182" i="1"/>
  <c r="AB126" i="1"/>
  <c r="AB182" i="1"/>
  <c r="AF126" i="1"/>
  <c r="AF182" i="1"/>
  <c r="J147" i="1"/>
  <c r="I147" i="1"/>
  <c r="H147" i="1"/>
  <c r="G147" i="1"/>
  <c r="F147" i="1"/>
  <c r="E147" i="1"/>
  <c r="AI184" i="1"/>
  <c r="AF184" i="1"/>
  <c r="R186" i="1"/>
  <c r="F249" i="1"/>
  <c r="E249" i="1"/>
  <c r="F242" i="1"/>
  <c r="E242" i="1"/>
  <c r="R126" i="1"/>
  <c r="R182" i="1"/>
  <c r="V126" i="1"/>
  <c r="V182" i="1"/>
  <c r="S126" i="1"/>
  <c r="S182" i="1"/>
  <c r="W126" i="1"/>
  <c r="W182" i="1"/>
  <c r="Q126" i="1"/>
  <c r="Q182" i="1"/>
  <c r="AJ184" i="1"/>
  <c r="AJ156" i="1"/>
  <c r="F128" i="1"/>
  <c r="AK184" i="1"/>
  <c r="AK156" i="1"/>
  <c r="G128" i="1"/>
  <c r="G129" i="1"/>
  <c r="AP184" i="1"/>
  <c r="L184" i="1"/>
  <c r="AP156" i="1"/>
  <c r="L156" i="1"/>
  <c r="L128" i="1"/>
  <c r="AL186" i="1"/>
  <c r="AL158" i="1"/>
  <c r="H130" i="1"/>
  <c r="AI186" i="1"/>
  <c r="AI158" i="1"/>
  <c r="E130" i="1"/>
  <c r="AO184" i="1"/>
  <c r="AO156" i="1"/>
  <c r="K128" i="1"/>
  <c r="AO186" i="1"/>
  <c r="AO158" i="1"/>
  <c r="K130" i="1"/>
  <c r="AP186" i="1"/>
  <c r="L186" i="1"/>
  <c r="AP158" i="1"/>
  <c r="L158" i="1"/>
  <c r="L130" i="1"/>
  <c r="AM186" i="1"/>
  <c r="AM158" i="1"/>
  <c r="I130" i="1"/>
  <c r="AJ186" i="1"/>
  <c r="AJ158" i="1"/>
  <c r="F130" i="1"/>
  <c r="AN186" i="1"/>
  <c r="AN158" i="1"/>
  <c r="J130" i="1"/>
  <c r="AL184" i="1"/>
  <c r="AL156" i="1"/>
  <c r="H128" i="1"/>
  <c r="A125" i="1"/>
  <c r="N124" i="1"/>
  <c r="V124" i="1"/>
  <c r="V180" i="1"/>
  <c r="A124" i="1"/>
  <c r="A123" i="1"/>
  <c r="BI104" i="1"/>
  <c r="N122" i="1"/>
  <c r="W122" i="1"/>
  <c r="A122" i="1"/>
  <c r="BI103" i="1"/>
  <c r="A121" i="1"/>
  <c r="BI102" i="1"/>
  <c r="N120" i="1"/>
  <c r="W120" i="1"/>
  <c r="A120" i="1"/>
  <c r="BI101" i="1"/>
  <c r="N119" i="1"/>
  <c r="U119" i="1"/>
  <c r="B119" i="1"/>
  <c r="A119" i="1"/>
  <c r="BI100" i="1"/>
  <c r="BI99" i="1"/>
  <c r="BI96" i="1"/>
  <c r="BI95" i="1"/>
  <c r="BI94" i="1"/>
  <c r="AC106" i="1"/>
  <c r="AB106" i="1"/>
  <c r="AA106" i="1"/>
  <c r="Z106" i="1"/>
  <c r="Y106" i="1"/>
  <c r="W106" i="1"/>
  <c r="V106" i="1"/>
  <c r="U106" i="1"/>
  <c r="P182" i="1"/>
  <c r="J129" i="1"/>
  <c r="T124" i="1"/>
  <c r="T122" i="1"/>
  <c r="E129" i="1"/>
  <c r="P122" i="1"/>
  <c r="AE124" i="1"/>
  <c r="I129" i="1"/>
  <c r="Q119" i="1"/>
  <c r="P119" i="1"/>
  <c r="AA124" i="1"/>
  <c r="T120" i="1"/>
  <c r="R120" i="1"/>
  <c r="Q120" i="1"/>
  <c r="V120" i="1"/>
  <c r="P120" i="1"/>
  <c r="U120" i="1"/>
  <c r="Q122" i="1"/>
  <c r="Q124" i="1"/>
  <c r="Q180" i="1"/>
  <c r="Z124" i="1"/>
  <c r="Z180" i="1"/>
  <c r="AD124" i="1"/>
  <c r="AD180" i="1"/>
  <c r="P124" i="1"/>
  <c r="Y124" i="1"/>
  <c r="Y180" i="1"/>
  <c r="AC124" i="1"/>
  <c r="AC180" i="1"/>
  <c r="U122" i="1"/>
  <c r="U124" i="1"/>
  <c r="U180" i="1"/>
  <c r="AB124" i="1"/>
  <c r="AB180" i="1"/>
  <c r="AF124" i="1"/>
  <c r="AF180" i="1"/>
  <c r="T119" i="1"/>
  <c r="K129" i="1"/>
  <c r="S122" i="1"/>
  <c r="S206" i="1"/>
  <c r="S207" i="1"/>
  <c r="S124" i="1"/>
  <c r="S180" i="1"/>
  <c r="W124" i="1"/>
  <c r="W180" i="1"/>
  <c r="R119" i="1"/>
  <c r="V119" i="1"/>
  <c r="S120" i="1"/>
  <c r="S204" i="1"/>
  <c r="R122" i="1"/>
  <c r="V122" i="1"/>
  <c r="R124" i="1"/>
  <c r="R180" i="1"/>
  <c r="S119" i="1"/>
  <c r="W119" i="1"/>
  <c r="L119" i="1"/>
  <c r="H129" i="1"/>
  <c r="K158" i="1"/>
  <c r="J158" i="1"/>
  <c r="I158" i="1"/>
  <c r="H158" i="1"/>
  <c r="G158" i="1"/>
  <c r="F158" i="1"/>
  <c r="E158" i="1"/>
  <c r="F129" i="1"/>
  <c r="L129" i="1"/>
  <c r="K186" i="1"/>
  <c r="J186" i="1"/>
  <c r="I186" i="1"/>
  <c r="H186" i="1"/>
  <c r="G186" i="1"/>
  <c r="F186" i="1"/>
  <c r="E186" i="1"/>
  <c r="K184" i="1"/>
  <c r="L185" i="1"/>
  <c r="K156" i="1"/>
  <c r="L157" i="1"/>
  <c r="T106" i="1"/>
  <c r="S106" i="1"/>
  <c r="R106" i="1"/>
  <c r="Q106" i="1"/>
  <c r="P106" i="1"/>
  <c r="A106" i="1"/>
  <c r="BI93" i="1"/>
  <c r="A105" i="1"/>
  <c r="BI92" i="1"/>
  <c r="AE104" i="1"/>
  <c r="AD104" i="1"/>
  <c r="AC104" i="1"/>
  <c r="AB104" i="1"/>
  <c r="AA104" i="1"/>
  <c r="Z104" i="1"/>
  <c r="Y104" i="1"/>
  <c r="W104" i="1"/>
  <c r="V104" i="1"/>
  <c r="U104" i="1"/>
  <c r="T104" i="1"/>
  <c r="S104" i="1"/>
  <c r="R104" i="1"/>
  <c r="Q104" i="1"/>
  <c r="P104" i="1"/>
  <c r="A104" i="1"/>
  <c r="BI91" i="1"/>
  <c r="AE180" i="1"/>
  <c r="AA180" i="1"/>
  <c r="T180" i="1"/>
  <c r="K119" i="1"/>
  <c r="J119" i="1"/>
  <c r="I119" i="1"/>
  <c r="S205" i="1"/>
  <c r="H119" i="1"/>
  <c r="G119" i="1"/>
  <c r="F119" i="1"/>
  <c r="E119" i="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L102" i="1"/>
  <c r="K102" i="1"/>
  <c r="I184" i="1"/>
  <c r="J185" i="1"/>
  <c r="I156" i="1"/>
  <c r="J157" i="1"/>
  <c r="J102" i="1"/>
  <c r="I102" i="1"/>
  <c r="H102" i="1"/>
  <c r="G102" i="1"/>
  <c r="F102" i="1"/>
  <c r="E102" i="1"/>
  <c r="A102" i="1"/>
  <c r="BI89" i="1"/>
  <c r="A101"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A100" i="1"/>
  <c r="A99" i="1"/>
  <c r="BI86" i="1"/>
  <c r="AF98" i="1"/>
  <c r="AE98" i="1"/>
  <c r="AD98" i="1"/>
  <c r="AC98" i="1"/>
  <c r="AB98" i="1"/>
  <c r="AA98" i="1"/>
  <c r="Z98" i="1"/>
  <c r="Y98" i="1"/>
  <c r="W98" i="1"/>
  <c r="V98" i="1"/>
  <c r="U98" i="1"/>
  <c r="T98" i="1"/>
  <c r="S98" i="1"/>
  <c r="R98" i="1"/>
  <c r="Q98" i="1"/>
  <c r="P98" i="1"/>
  <c r="A98" i="1"/>
  <c r="BI85" i="1"/>
  <c r="A97" i="1"/>
  <c r="BI84" i="1"/>
  <c r="AF96" i="1"/>
  <c r="AE96" i="1"/>
  <c r="AD96" i="1"/>
  <c r="AC96" i="1"/>
  <c r="AB96" i="1"/>
  <c r="AA96" i="1"/>
  <c r="Z96" i="1"/>
  <c r="Y96" i="1"/>
  <c r="W96" i="1"/>
  <c r="V96" i="1"/>
  <c r="U96" i="1"/>
  <c r="T96" i="1"/>
  <c r="S96" i="1"/>
  <c r="R96" i="1"/>
  <c r="Q96" i="1"/>
  <c r="P96" i="1"/>
  <c r="A96" i="1"/>
  <c r="BI83" i="1"/>
  <c r="A95" i="1"/>
  <c r="BI82" i="1"/>
  <c r="N94" i="1"/>
  <c r="W94" i="1"/>
  <c r="A94" i="1"/>
  <c r="BI81" i="1"/>
  <c r="A93" i="1"/>
  <c r="BI80" i="1"/>
  <c r="N92" i="1"/>
  <c r="T92" i="1"/>
  <c r="A92" i="1"/>
  <c r="BI79" i="1"/>
  <c r="N91" i="1"/>
  <c r="Q91" i="1"/>
  <c r="B91" i="1"/>
  <c r="A91" i="1"/>
  <c r="BI78" i="1"/>
  <c r="BI77" i="1"/>
  <c r="BI74" i="1"/>
  <c r="N80" i="1"/>
  <c r="BI73" i="1"/>
  <c r="BI72" i="1"/>
  <c r="AF78" i="1"/>
  <c r="AE78" i="1"/>
  <c r="AD78" i="1"/>
  <c r="AC78" i="1"/>
  <c r="AB78" i="1"/>
  <c r="AA78" i="1"/>
  <c r="Z78" i="1"/>
  <c r="Y78" i="1"/>
  <c r="W78" i="1"/>
  <c r="V78" i="1"/>
  <c r="U78" i="1"/>
  <c r="T78" i="1"/>
  <c r="S78" i="1"/>
  <c r="R78" i="1"/>
  <c r="Q78" i="1"/>
  <c r="P78" i="1"/>
  <c r="N78" i="1"/>
  <c r="A78" i="1"/>
  <c r="BI71" i="1"/>
  <c r="A77" i="1"/>
  <c r="AF76" i="1"/>
  <c r="AE76" i="1"/>
  <c r="AD76" i="1"/>
  <c r="AC76" i="1"/>
  <c r="AB76" i="1"/>
  <c r="AA76" i="1"/>
  <c r="Z76" i="1"/>
  <c r="Y76" i="1"/>
  <c r="W76" i="1"/>
  <c r="V76" i="1"/>
  <c r="U76" i="1"/>
  <c r="T76" i="1"/>
  <c r="S76" i="1"/>
  <c r="R76" i="1"/>
  <c r="Q76" i="1"/>
  <c r="P76" i="1"/>
  <c r="A76" i="1"/>
  <c r="A75" i="1"/>
  <c r="BI68" i="1"/>
  <c r="AP74" i="1"/>
  <c r="AO74" i="1"/>
  <c r="AN74" i="1"/>
  <c r="AM74" i="1"/>
  <c r="AL74" i="1"/>
  <c r="AK74" i="1"/>
  <c r="AJ74" i="1"/>
  <c r="AI74" i="1"/>
  <c r="AF74" i="1"/>
  <c r="AE74" i="1"/>
  <c r="AD74" i="1"/>
  <c r="AC74" i="1"/>
  <c r="AB74" i="1"/>
  <c r="AA74" i="1"/>
  <c r="Z74" i="1"/>
  <c r="Y74" i="1"/>
  <c r="W74" i="1"/>
  <c r="V74" i="1"/>
  <c r="U74" i="1"/>
  <c r="T74" i="1"/>
  <c r="S74" i="1"/>
  <c r="R74" i="1"/>
  <c r="Q74" i="1"/>
  <c r="P74" i="1"/>
  <c r="A74" i="1"/>
  <c r="BI67" i="1"/>
  <c r="A73" i="1"/>
  <c r="BI66" i="1"/>
  <c r="AP72" i="1"/>
  <c r="AO72" i="1"/>
  <c r="AN72" i="1"/>
  <c r="AM72" i="1"/>
  <c r="AL72" i="1"/>
  <c r="AK72" i="1"/>
  <c r="AJ72" i="1"/>
  <c r="AI72" i="1"/>
  <c r="AF72" i="1"/>
  <c r="AE72" i="1"/>
  <c r="AD72" i="1"/>
  <c r="AC72" i="1"/>
  <c r="AB72" i="1"/>
  <c r="AA72" i="1"/>
  <c r="Z72" i="1"/>
  <c r="Y72" i="1"/>
  <c r="W72" i="1"/>
  <c r="V72" i="1"/>
  <c r="U72" i="1"/>
  <c r="T72" i="1"/>
  <c r="S72" i="1"/>
  <c r="R72" i="1"/>
  <c r="Q72" i="1"/>
  <c r="P72" i="1"/>
  <c r="A72" i="1"/>
  <c r="BI65" i="1"/>
  <c r="A71" i="1"/>
  <c r="BI64" i="1"/>
  <c r="AF70" i="1"/>
  <c r="AE70" i="1"/>
  <c r="AD70" i="1"/>
  <c r="AC70" i="1"/>
  <c r="AB70" i="1"/>
  <c r="AA70" i="1"/>
  <c r="Z70" i="1"/>
  <c r="Y70" i="1"/>
  <c r="W70" i="1"/>
  <c r="V70" i="1"/>
  <c r="U70" i="1"/>
  <c r="T70" i="1"/>
  <c r="S70" i="1"/>
  <c r="R70" i="1"/>
  <c r="Q70" i="1"/>
  <c r="P70" i="1"/>
  <c r="A70" i="1"/>
  <c r="BI63" i="1"/>
  <c r="P94" i="1"/>
  <c r="P91" i="1"/>
  <c r="U94" i="1"/>
  <c r="T94" i="1"/>
  <c r="T91" i="1"/>
  <c r="R94" i="1"/>
  <c r="U91" i="1"/>
  <c r="Q94" i="1"/>
  <c r="V94" i="1"/>
  <c r="S92" i="1"/>
  <c r="S91" i="1"/>
  <c r="W91" i="1"/>
  <c r="L91" i="1"/>
  <c r="Q92" i="1"/>
  <c r="U92" i="1"/>
  <c r="W92" i="1"/>
  <c r="L74" i="1"/>
  <c r="R92" i="1"/>
  <c r="V92" i="1"/>
  <c r="L72" i="1"/>
  <c r="K72" i="1"/>
  <c r="J72" i="1"/>
  <c r="I72" i="1"/>
  <c r="R91" i="1"/>
  <c r="V91" i="1"/>
  <c r="P92" i="1"/>
  <c r="S94" i="1"/>
  <c r="H72" i="1"/>
  <c r="G72" i="1"/>
  <c r="F72" i="1"/>
  <c r="E72" i="1"/>
  <c r="L100" i="1"/>
  <c r="L101" i="1"/>
  <c r="H156" i="1"/>
  <c r="I157" i="1"/>
  <c r="H184" i="1"/>
  <c r="I185" i="1"/>
  <c r="K74" i="1"/>
  <c r="J74" i="1"/>
  <c r="I74" i="1"/>
  <c r="H74" i="1"/>
  <c r="G74" i="1"/>
  <c r="F74" i="1"/>
  <c r="E74" i="1"/>
  <c r="K100" i="1"/>
  <c r="L73" i="1"/>
  <c r="E73" i="1"/>
  <c r="K91" i="1"/>
  <c r="J91" i="1"/>
  <c r="I91" i="1"/>
  <c r="H91" i="1"/>
  <c r="G91" i="1"/>
  <c r="F91" i="1"/>
  <c r="E91" i="1"/>
  <c r="H73" i="1"/>
  <c r="K73" i="1"/>
  <c r="G73" i="1"/>
  <c r="J73" i="1"/>
  <c r="I73" i="1"/>
  <c r="J100" i="1"/>
  <c r="K101" i="1"/>
  <c r="G156" i="1"/>
  <c r="H157" i="1"/>
  <c r="F73" i="1"/>
  <c r="G184" i="1"/>
  <c r="H185" i="1"/>
  <c r="A69" i="1"/>
  <c r="BI62" i="1"/>
  <c r="AF68" i="1"/>
  <c r="AE68" i="1"/>
  <c r="AD68" i="1"/>
  <c r="AC68" i="1"/>
  <c r="AB68" i="1"/>
  <c r="AA68" i="1"/>
  <c r="Z68" i="1"/>
  <c r="Y68" i="1"/>
  <c r="W68" i="1"/>
  <c r="V68" i="1"/>
  <c r="U68" i="1"/>
  <c r="T68" i="1"/>
  <c r="S68" i="1"/>
  <c r="R68" i="1"/>
  <c r="Q68" i="1"/>
  <c r="P68" i="1"/>
  <c r="A68" i="1"/>
  <c r="BI61" i="1"/>
  <c r="A67" i="1"/>
  <c r="BI60" i="1"/>
  <c r="N66" i="1"/>
  <c r="W66" i="1"/>
  <c r="A66" i="1"/>
  <c r="BI59" i="1"/>
  <c r="A65" i="1"/>
  <c r="BI58" i="1"/>
  <c r="N64" i="1"/>
  <c r="T64" i="1"/>
  <c r="A64" i="1"/>
  <c r="BI57" i="1"/>
  <c r="N63" i="1"/>
  <c r="P63" i="1"/>
  <c r="B63" i="1"/>
  <c r="A63" i="1"/>
  <c r="BI56" i="1"/>
  <c r="BI55" i="1"/>
  <c r="BI54" i="1"/>
  <c r="BI53" i="1"/>
  <c r="BI52" i="1"/>
  <c r="BI51" i="1"/>
  <c r="V63" i="1"/>
  <c r="U63" i="1"/>
  <c r="R66" i="1"/>
  <c r="Q63" i="1"/>
  <c r="Q66" i="1"/>
  <c r="V66" i="1"/>
  <c r="T66" i="1"/>
  <c r="T63" i="1"/>
  <c r="P66" i="1"/>
  <c r="U66" i="1"/>
  <c r="S64" i="1"/>
  <c r="W64" i="1"/>
  <c r="R64" i="1"/>
  <c r="V64" i="1"/>
  <c r="S63" i="1"/>
  <c r="Q64" i="1"/>
  <c r="U64" i="1"/>
  <c r="R63" i="1"/>
  <c r="W63" i="1"/>
  <c r="L63" i="1"/>
  <c r="P64" i="1"/>
  <c r="S66" i="1"/>
  <c r="C175" i="1"/>
  <c r="C147" i="1"/>
  <c r="B148" i="1"/>
  <c r="B120" i="1"/>
  <c r="C119" i="1"/>
  <c r="B92" i="1"/>
  <c r="C91" i="1"/>
  <c r="C63" i="1"/>
  <c r="B64" i="1"/>
  <c r="I100" i="1"/>
  <c r="J101" i="1"/>
  <c r="F184" i="1"/>
  <c r="G185" i="1"/>
  <c r="F156" i="1"/>
  <c r="G157" i="1"/>
  <c r="BI50" i="1"/>
  <c r="BI49" i="1"/>
  <c r="BI48" i="1"/>
  <c r="BI47" i="1"/>
  <c r="BI46" i="1"/>
  <c r="K63" i="1"/>
  <c r="J63" i="1"/>
  <c r="I63" i="1"/>
  <c r="H63" i="1"/>
  <c r="G63" i="1"/>
  <c r="F63" i="1"/>
  <c r="E63" i="1"/>
  <c r="C176" i="1"/>
  <c r="B176" i="1"/>
  <c r="B149" i="1"/>
  <c r="C148" i="1"/>
  <c r="B121" i="1"/>
  <c r="C120" i="1"/>
  <c r="C92" i="1"/>
  <c r="B93" i="1"/>
  <c r="B65" i="1"/>
  <c r="C64" i="1"/>
  <c r="E156" i="1"/>
  <c r="E157" i="1"/>
  <c r="F157" i="1"/>
  <c r="H100" i="1"/>
  <c r="I101" i="1"/>
  <c r="E184" i="1"/>
  <c r="E185" i="1"/>
  <c r="F185" i="1"/>
  <c r="BI45" i="1"/>
  <c r="BI44" i="1"/>
  <c r="C177" i="1"/>
  <c r="B177" i="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c r="C178" i="1"/>
  <c r="B151" i="1"/>
  <c r="C150" i="1"/>
  <c r="C122" i="1"/>
  <c r="C94" i="1"/>
  <c r="B94" i="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c r="B180" i="1"/>
  <c r="C151" i="1"/>
  <c r="C123" i="1"/>
  <c r="B123" i="1"/>
  <c r="B124" i="1"/>
  <c r="C95" i="1"/>
  <c r="B96" i="1"/>
  <c r="B68" i="1"/>
  <c r="C67" i="1"/>
  <c r="E100" i="1"/>
  <c r="E101" i="1"/>
  <c r="F101" i="1"/>
  <c r="AH120" i="1"/>
  <c r="AO120" i="1"/>
  <c r="AH122" i="1"/>
  <c r="AP122" i="1"/>
  <c r="AP178" i="1"/>
  <c r="L178" i="1"/>
  <c r="AH124" i="1"/>
  <c r="AO124" i="1"/>
  <c r="AH126" i="1"/>
  <c r="AO126" i="1"/>
  <c r="AH132" i="1"/>
  <c r="AO132" i="1"/>
  <c r="AF104" i="1"/>
  <c r="AH134" i="1"/>
  <c r="AF154" i="1"/>
  <c r="AF106" i="1"/>
  <c r="AE106" i="1"/>
  <c r="AD106" i="1"/>
  <c r="AP134" i="1"/>
  <c r="L134" i="1"/>
  <c r="L135" i="1"/>
  <c r="AI134" i="1"/>
  <c r="E134" i="1"/>
  <c r="E135" i="1"/>
  <c r="AJ134" i="1"/>
  <c r="AN134" i="1"/>
  <c r="J134" i="1"/>
  <c r="J135" i="1"/>
  <c r="AM120" i="1"/>
  <c r="I120" i="1"/>
  <c r="AK120" i="1"/>
  <c r="AK148" i="1"/>
  <c r="G148" i="1"/>
  <c r="AN120" i="1"/>
  <c r="AN92" i="1"/>
  <c r="J92" i="1"/>
  <c r="AO122" i="1"/>
  <c r="AO94" i="1"/>
  <c r="K94" i="1"/>
  <c r="AJ120" i="1"/>
  <c r="AJ92" i="1"/>
  <c r="F92" i="1"/>
  <c r="AJ122" i="1"/>
  <c r="AJ94" i="1"/>
  <c r="F94" i="1"/>
  <c r="AI122" i="1"/>
  <c r="AI94" i="1"/>
  <c r="E94" i="1"/>
  <c r="AM122" i="1"/>
  <c r="AM178" i="1"/>
  <c r="I178" i="1"/>
  <c r="AI120" i="1"/>
  <c r="AI92" i="1"/>
  <c r="E92" i="1"/>
  <c r="AL132" i="1"/>
  <c r="AL104" i="1"/>
  <c r="H104" i="1"/>
  <c r="H103" i="1"/>
  <c r="AL120" i="1"/>
  <c r="AL92" i="1"/>
  <c r="H92" i="1"/>
  <c r="AK132" i="1"/>
  <c r="AK104" i="1"/>
  <c r="G104" i="1"/>
  <c r="G103" i="1"/>
  <c r="AL122" i="1"/>
  <c r="AL178" i="1"/>
  <c r="H178" i="1"/>
  <c r="AO134" i="1"/>
  <c r="AO190" i="1"/>
  <c r="AM134" i="1"/>
  <c r="AM162" i="1"/>
  <c r="AI132" i="1"/>
  <c r="AI160" i="1"/>
  <c r="E160" i="1"/>
  <c r="E159" i="1"/>
  <c r="AM132" i="1"/>
  <c r="AM104" i="1"/>
  <c r="I104" i="1"/>
  <c r="I103" i="1"/>
  <c r="AJ132" i="1"/>
  <c r="AJ76" i="1"/>
  <c r="F76" i="1"/>
  <c r="F75" i="1"/>
  <c r="AK122" i="1"/>
  <c r="AK178" i="1"/>
  <c r="G178" i="1"/>
  <c r="AO64" i="1"/>
  <c r="K64" i="1"/>
  <c r="AO176" i="1"/>
  <c r="K176" i="1"/>
  <c r="AP120" i="1"/>
  <c r="AP176" i="1"/>
  <c r="L176" i="1"/>
  <c r="L177" i="1"/>
  <c r="AN122" i="1"/>
  <c r="AO160" i="1"/>
  <c r="K160" i="1"/>
  <c r="K159" i="1"/>
  <c r="K132" i="1"/>
  <c r="K131" i="1"/>
  <c r="AO104" i="1"/>
  <c r="K104" i="1"/>
  <c r="K103" i="1"/>
  <c r="AO76" i="1"/>
  <c r="K76" i="1"/>
  <c r="AO188" i="1"/>
  <c r="K188" i="1"/>
  <c r="AO98" i="1"/>
  <c r="K98" i="1"/>
  <c r="K99" i="1"/>
  <c r="AO182" i="1"/>
  <c r="K182" i="1"/>
  <c r="K183" i="1"/>
  <c r="K126" i="1"/>
  <c r="K127" i="1"/>
  <c r="AO154" i="1"/>
  <c r="K154" i="1"/>
  <c r="K155" i="1"/>
  <c r="AO70" i="1"/>
  <c r="K70" i="1"/>
  <c r="K71" i="1"/>
  <c r="AO152" i="1"/>
  <c r="K152" i="1"/>
  <c r="AO96" i="1"/>
  <c r="K96" i="1"/>
  <c r="AO68" i="1"/>
  <c r="K68" i="1"/>
  <c r="K124" i="1"/>
  <c r="AO180" i="1"/>
  <c r="K180" i="1"/>
  <c r="AP126" i="1"/>
  <c r="AP124" i="1"/>
  <c r="AP94" i="1"/>
  <c r="L94" i="1"/>
  <c r="AL134" i="1"/>
  <c r="H134" i="1"/>
  <c r="H135" i="1"/>
  <c r="AO148" i="1"/>
  <c r="K148" i="1"/>
  <c r="AP150" i="1"/>
  <c r="L150" i="1"/>
  <c r="AP66" i="1"/>
  <c r="L66" i="1"/>
  <c r="AI126" i="1"/>
  <c r="AJ126" i="1"/>
  <c r="AK126" i="1"/>
  <c r="AL126" i="1"/>
  <c r="AM126" i="1"/>
  <c r="AN126" i="1"/>
  <c r="AP132" i="1"/>
  <c r="AK134" i="1"/>
  <c r="G134" i="1"/>
  <c r="G135" i="1"/>
  <c r="F134" i="1"/>
  <c r="F135" i="1"/>
  <c r="L122" i="1"/>
  <c r="AN132" i="1"/>
  <c r="AO92" i="1"/>
  <c r="K92" i="1"/>
  <c r="K120" i="1"/>
  <c r="AI124" i="1"/>
  <c r="AJ124" i="1"/>
  <c r="AK124" i="1"/>
  <c r="AL124" i="1"/>
  <c r="AM124" i="1"/>
  <c r="AN124" i="1"/>
  <c r="C180" i="1"/>
  <c r="B181" i="1"/>
  <c r="B153" i="1"/>
  <c r="C152" i="1"/>
  <c r="C124" i="1"/>
  <c r="B125" i="1"/>
  <c r="C96" i="1"/>
  <c r="C68" i="1"/>
  <c r="B69" i="1"/>
  <c r="AP78" i="1"/>
  <c r="L78" i="1"/>
  <c r="L79" i="1"/>
  <c r="K93" i="1"/>
  <c r="AP162" i="1"/>
  <c r="L162" i="1"/>
  <c r="L163" i="1"/>
  <c r="AP106" i="1"/>
  <c r="L106" i="1"/>
  <c r="L107" i="1"/>
  <c r="AP190" i="1"/>
  <c r="L190" i="1"/>
  <c r="L191" i="1"/>
  <c r="AO150" i="1"/>
  <c r="K150" i="1"/>
  <c r="K151" i="1"/>
  <c r="AM66" i="1"/>
  <c r="I66" i="1"/>
  <c r="AO66" i="1"/>
  <c r="K66" i="1"/>
  <c r="K65" i="1"/>
  <c r="AO178" i="1"/>
  <c r="K178" i="1"/>
  <c r="K179" i="1"/>
  <c r="K122" i="1"/>
  <c r="K123" i="1"/>
  <c r="AN148" i="1"/>
  <c r="J148" i="1"/>
  <c r="AM148" i="1"/>
  <c r="I148" i="1"/>
  <c r="AM92" i="1"/>
  <c r="I92" i="1"/>
  <c r="AM64" i="1"/>
  <c r="I64" i="1"/>
  <c r="F120" i="1"/>
  <c r="AM176" i="1"/>
  <c r="I176" i="1"/>
  <c r="I177" i="1"/>
  <c r="G120" i="1"/>
  <c r="AK176" i="1"/>
  <c r="G176" i="1"/>
  <c r="G177" i="1"/>
  <c r="AK92" i="1"/>
  <c r="G92" i="1"/>
  <c r="AK64" i="1"/>
  <c r="G64" i="1"/>
  <c r="J120" i="1"/>
  <c r="AN64" i="1"/>
  <c r="J64" i="1"/>
  <c r="K95" i="1"/>
  <c r="AN176" i="1"/>
  <c r="J176" i="1"/>
  <c r="AI104" i="1"/>
  <c r="E104" i="1"/>
  <c r="E103" i="1"/>
  <c r="F122" i="1"/>
  <c r="AJ178" i="1"/>
  <c r="F178" i="1"/>
  <c r="AJ66" i="1"/>
  <c r="F66" i="1"/>
  <c r="F93" i="1"/>
  <c r="E93" i="1"/>
  <c r="AJ176" i="1"/>
  <c r="F176" i="1"/>
  <c r="I122" i="1"/>
  <c r="I121" i="1"/>
  <c r="AJ148" i="1"/>
  <c r="F148" i="1"/>
  <c r="AJ64" i="1"/>
  <c r="F64" i="1"/>
  <c r="AK160" i="1"/>
  <c r="G160" i="1"/>
  <c r="G159" i="1"/>
  <c r="AJ150" i="1"/>
  <c r="F150" i="1"/>
  <c r="AJ104" i="1"/>
  <c r="F104" i="1"/>
  <c r="F103" i="1"/>
  <c r="AJ160" i="1"/>
  <c r="F160" i="1"/>
  <c r="F159" i="1"/>
  <c r="AI178" i="1"/>
  <c r="E178" i="1"/>
  <c r="AO162" i="1"/>
  <c r="K162" i="1"/>
  <c r="K163" i="1"/>
  <c r="AI66" i="1"/>
  <c r="E66" i="1"/>
  <c r="AI150" i="1"/>
  <c r="E150" i="1"/>
  <c r="AL188" i="1"/>
  <c r="H188" i="1"/>
  <c r="H187" i="1"/>
  <c r="H132" i="1"/>
  <c r="H131" i="1"/>
  <c r="AL160" i="1"/>
  <c r="H160" i="1"/>
  <c r="H159" i="1"/>
  <c r="E122" i="1"/>
  <c r="AM94" i="1"/>
  <c r="I94" i="1"/>
  <c r="AM150" i="1"/>
  <c r="I150" i="1"/>
  <c r="AJ188" i="1"/>
  <c r="F188" i="1"/>
  <c r="F187" i="1"/>
  <c r="AI148" i="1"/>
  <c r="E148" i="1"/>
  <c r="E120" i="1"/>
  <c r="F132" i="1"/>
  <c r="F133" i="1"/>
  <c r="AL76" i="1"/>
  <c r="H76" i="1"/>
  <c r="H75" i="1"/>
  <c r="AI64" i="1"/>
  <c r="E64" i="1"/>
  <c r="AI176" i="1"/>
  <c r="E176" i="1"/>
  <c r="AL64" i="1"/>
  <c r="H64" i="1"/>
  <c r="AK76" i="1"/>
  <c r="G76" i="1"/>
  <c r="G75" i="1"/>
  <c r="AM78" i="1"/>
  <c r="AL94" i="1"/>
  <c r="H94" i="1"/>
  <c r="H93" i="1"/>
  <c r="AL176" i="1"/>
  <c r="H176" i="1"/>
  <c r="H177" i="1"/>
  <c r="AL148" i="1"/>
  <c r="H148" i="1"/>
  <c r="H120" i="1"/>
  <c r="G132" i="1"/>
  <c r="G131" i="1"/>
  <c r="AK188" i="1"/>
  <c r="G188" i="1"/>
  <c r="G187" i="1"/>
  <c r="AI76" i="1"/>
  <c r="E76" i="1"/>
  <c r="E75" i="1"/>
  <c r="AI188" i="1"/>
  <c r="E188" i="1"/>
  <c r="E187" i="1"/>
  <c r="AK94" i="1"/>
  <c r="G94" i="1"/>
  <c r="AO106" i="1"/>
  <c r="K106" i="1"/>
  <c r="K105" i="1"/>
  <c r="AL150" i="1"/>
  <c r="H150" i="1"/>
  <c r="AL66" i="1"/>
  <c r="H66" i="1"/>
  <c r="AM190" i="1"/>
  <c r="E132" i="1"/>
  <c r="E131" i="1"/>
  <c r="H122" i="1"/>
  <c r="AO78" i="1"/>
  <c r="K78" i="1"/>
  <c r="K134" i="1"/>
  <c r="K135" i="1"/>
  <c r="AM76" i="1"/>
  <c r="I76" i="1"/>
  <c r="I132" i="1"/>
  <c r="K190" i="1"/>
  <c r="K189" i="1"/>
  <c r="AK66" i="1"/>
  <c r="G66" i="1"/>
  <c r="AK150" i="1"/>
  <c r="G150" i="1"/>
  <c r="G149" i="1"/>
  <c r="G122" i="1"/>
  <c r="AM106" i="1"/>
  <c r="I134" i="1"/>
  <c r="I135" i="1"/>
  <c r="AM160" i="1"/>
  <c r="I160" i="1"/>
  <c r="I159" i="1"/>
  <c r="AM188" i="1"/>
  <c r="I188" i="1"/>
  <c r="AN94" i="1"/>
  <c r="J94" i="1"/>
  <c r="J93" i="1"/>
  <c r="AN66" i="1"/>
  <c r="J66" i="1"/>
  <c r="AN178" i="1"/>
  <c r="J178" i="1"/>
  <c r="AN150" i="1"/>
  <c r="J150" i="1"/>
  <c r="J122" i="1"/>
  <c r="AP92" i="1"/>
  <c r="L92" i="1"/>
  <c r="L93" i="1"/>
  <c r="AP148" i="1"/>
  <c r="L148" i="1"/>
  <c r="L149" i="1"/>
  <c r="AP64" i="1"/>
  <c r="L64" i="1"/>
  <c r="L65" i="1"/>
  <c r="L120" i="1"/>
  <c r="L121" i="1"/>
  <c r="K153" i="1"/>
  <c r="K181" i="1"/>
  <c r="K97" i="1"/>
  <c r="K125" i="1"/>
  <c r="AK68" i="1"/>
  <c r="G68" i="1"/>
  <c r="AK96" i="1"/>
  <c r="G96" i="1"/>
  <c r="AK180" i="1"/>
  <c r="G180" i="1"/>
  <c r="G179" i="1"/>
  <c r="G124" i="1"/>
  <c r="AK152" i="1"/>
  <c r="G152" i="1"/>
  <c r="AL152" i="1"/>
  <c r="H152" i="1"/>
  <c r="AL96" i="1"/>
  <c r="H96" i="1"/>
  <c r="AL68" i="1"/>
  <c r="H68" i="1"/>
  <c r="AL180" i="1"/>
  <c r="H180" i="1"/>
  <c r="H124" i="1"/>
  <c r="AN188" i="1"/>
  <c r="J188" i="1"/>
  <c r="AN76" i="1"/>
  <c r="J76" i="1"/>
  <c r="AN104" i="1"/>
  <c r="J104" i="1"/>
  <c r="AN160" i="1"/>
  <c r="J160" i="1"/>
  <c r="J132" i="1"/>
  <c r="AK78" i="1"/>
  <c r="AK162" i="1"/>
  <c r="AK190" i="1"/>
  <c r="AK106" i="1"/>
  <c r="G106" i="1"/>
  <c r="AP104" i="1"/>
  <c r="L104" i="1"/>
  <c r="AP160" i="1"/>
  <c r="L160" i="1"/>
  <c r="AP188" i="1"/>
  <c r="L188" i="1"/>
  <c r="AP76" i="1"/>
  <c r="L76" i="1"/>
  <c r="L132" i="1"/>
  <c r="AI98" i="1"/>
  <c r="E98" i="1"/>
  <c r="E99" i="1"/>
  <c r="AI154" i="1"/>
  <c r="E154" i="1"/>
  <c r="AI70" i="1"/>
  <c r="E70" i="1"/>
  <c r="E71" i="1"/>
  <c r="AI182" i="1"/>
  <c r="E182" i="1"/>
  <c r="E183" i="1"/>
  <c r="E126" i="1"/>
  <c r="E127" i="1"/>
  <c r="AL78" i="1"/>
  <c r="AL162" i="1"/>
  <c r="AL190" i="1"/>
  <c r="H190" i="1"/>
  <c r="AL106" i="1"/>
  <c r="AM68" i="1"/>
  <c r="I68" i="1"/>
  <c r="AM96" i="1"/>
  <c r="I96" i="1"/>
  <c r="AM152" i="1"/>
  <c r="I152" i="1"/>
  <c r="AM180" i="1"/>
  <c r="I180" i="1"/>
  <c r="I124" i="1"/>
  <c r="AI152" i="1"/>
  <c r="E152" i="1"/>
  <c r="E124" i="1"/>
  <c r="AI96" i="1"/>
  <c r="E96" i="1"/>
  <c r="AI68" i="1"/>
  <c r="E68" i="1"/>
  <c r="AI180" i="1"/>
  <c r="E180" i="1"/>
  <c r="AJ78" i="1"/>
  <c r="AJ162" i="1"/>
  <c r="AJ190" i="1"/>
  <c r="AJ106" i="1"/>
  <c r="AP70" i="1"/>
  <c r="L70" i="1"/>
  <c r="L71" i="1"/>
  <c r="AP154" i="1"/>
  <c r="L154" i="1"/>
  <c r="L155" i="1"/>
  <c r="L126" i="1"/>
  <c r="L127" i="1"/>
  <c r="AP98" i="1"/>
  <c r="L98" i="1"/>
  <c r="L99" i="1"/>
  <c r="AP182" i="1"/>
  <c r="L182" i="1"/>
  <c r="L183" i="1"/>
  <c r="AN98" i="1"/>
  <c r="J98" i="1"/>
  <c r="J99" i="1"/>
  <c r="AN154" i="1"/>
  <c r="J154" i="1"/>
  <c r="AN70" i="1"/>
  <c r="J70" i="1"/>
  <c r="J71" i="1"/>
  <c r="AN182" i="1"/>
  <c r="J182" i="1"/>
  <c r="J126" i="1"/>
  <c r="J127" i="1"/>
  <c r="AK98" i="1"/>
  <c r="G98" i="1"/>
  <c r="G99" i="1"/>
  <c r="AK70" i="1"/>
  <c r="G70" i="1"/>
  <c r="G71" i="1"/>
  <c r="G126" i="1"/>
  <c r="G127" i="1"/>
  <c r="AK154" i="1"/>
  <c r="G154" i="1"/>
  <c r="G155" i="1"/>
  <c r="AK182" i="1"/>
  <c r="G182" i="1"/>
  <c r="AN78" i="1"/>
  <c r="AN162" i="1"/>
  <c r="J162" i="1"/>
  <c r="AN106" i="1"/>
  <c r="J106" i="1"/>
  <c r="AN190" i="1"/>
  <c r="K187" i="1"/>
  <c r="AL98" i="1"/>
  <c r="H98" i="1"/>
  <c r="H99" i="1"/>
  <c r="AL154" i="1"/>
  <c r="H154" i="1"/>
  <c r="H155" i="1"/>
  <c r="AL182" i="1"/>
  <c r="H182" i="1"/>
  <c r="H183" i="1"/>
  <c r="H126" i="1"/>
  <c r="H127" i="1"/>
  <c r="AL70" i="1"/>
  <c r="H70" i="1"/>
  <c r="H71" i="1"/>
  <c r="AN68" i="1"/>
  <c r="J68" i="1"/>
  <c r="AN96" i="1"/>
  <c r="J96" i="1"/>
  <c r="AN152" i="1"/>
  <c r="J152" i="1"/>
  <c r="AN180" i="1"/>
  <c r="J180" i="1"/>
  <c r="J124" i="1"/>
  <c r="AJ152" i="1"/>
  <c r="F152" i="1"/>
  <c r="AJ180" i="1"/>
  <c r="F180" i="1"/>
  <c r="AJ96" i="1"/>
  <c r="F96" i="1"/>
  <c r="AJ68" i="1"/>
  <c r="F68" i="1"/>
  <c r="F124" i="1"/>
  <c r="AI78" i="1"/>
  <c r="AI190" i="1"/>
  <c r="AI162" i="1"/>
  <c r="AI106" i="1"/>
  <c r="AM98" i="1"/>
  <c r="I98" i="1"/>
  <c r="I99" i="1"/>
  <c r="I126" i="1"/>
  <c r="I127" i="1"/>
  <c r="AM70" i="1"/>
  <c r="I70" i="1"/>
  <c r="AM154" i="1"/>
  <c r="I154" i="1"/>
  <c r="AM182" i="1"/>
  <c r="I182" i="1"/>
  <c r="I183" i="1"/>
  <c r="AJ98" i="1"/>
  <c r="F98" i="1"/>
  <c r="F99" i="1"/>
  <c r="F126" i="1"/>
  <c r="F127" i="1"/>
  <c r="AJ70" i="1"/>
  <c r="F70" i="1"/>
  <c r="AJ154" i="1"/>
  <c r="F154" i="1"/>
  <c r="F155" i="1"/>
  <c r="AJ182" i="1"/>
  <c r="F182" i="1"/>
  <c r="L124" i="1"/>
  <c r="AP68" i="1"/>
  <c r="L68" i="1"/>
  <c r="AP96" i="1"/>
  <c r="L96" i="1"/>
  <c r="AP180" i="1"/>
  <c r="L180" i="1"/>
  <c r="AP152" i="1"/>
  <c r="L152" i="1"/>
  <c r="K69" i="1"/>
  <c r="K75" i="1"/>
  <c r="C181" i="1"/>
  <c r="B182" i="1"/>
  <c r="B154" i="1"/>
  <c r="B126" i="1"/>
  <c r="C125" i="1"/>
  <c r="C97" i="1"/>
  <c r="B70" i="1"/>
  <c r="B98" i="1"/>
  <c r="C69" i="1"/>
  <c r="C153" i="1"/>
  <c r="B152" i="1"/>
  <c r="I149" i="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c r="K79" i="1"/>
  <c r="K77" i="1"/>
  <c r="I106" i="1"/>
  <c r="J107" i="1"/>
  <c r="G190" i="1"/>
  <c r="H191" i="1"/>
  <c r="J190" i="1"/>
  <c r="J189" i="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c r="H105" i="1"/>
  <c r="E107" i="1"/>
  <c r="E105" i="1"/>
  <c r="E190" i="1"/>
  <c r="F191" i="1"/>
  <c r="F189" i="1"/>
  <c r="I191" i="1"/>
  <c r="I189" i="1"/>
  <c r="H78" i="1"/>
  <c r="I79" i="1"/>
  <c r="I77" i="1"/>
  <c r="G162" i="1"/>
  <c r="H163" i="1"/>
  <c r="H161" i="1"/>
  <c r="B185" i="1"/>
  <c r="C184" i="1"/>
  <c r="B157" i="1"/>
  <c r="C156" i="1"/>
  <c r="C128" i="1"/>
  <c r="B129" i="1"/>
  <c r="C100" i="1"/>
  <c r="B73" i="1"/>
  <c r="C72" i="1"/>
  <c r="B101" i="1"/>
  <c r="F162" i="1"/>
  <c r="G163" i="1"/>
  <c r="G161" i="1"/>
  <c r="E191" i="1"/>
  <c r="E189" i="1"/>
  <c r="G78" i="1"/>
  <c r="H79" i="1"/>
  <c r="H77" i="1"/>
  <c r="C185" i="1"/>
  <c r="B186" i="1"/>
  <c r="B158" i="1"/>
  <c r="C157" i="1"/>
  <c r="C129" i="1"/>
  <c r="B130" i="1"/>
  <c r="B102" i="1"/>
  <c r="C101" i="1"/>
  <c r="C73" i="1"/>
  <c r="B74" i="1"/>
  <c r="E162" i="1"/>
  <c r="F163" i="1"/>
  <c r="F161" i="1"/>
  <c r="F78" i="1"/>
  <c r="G79" i="1"/>
  <c r="G77" i="1"/>
  <c r="C186" i="1"/>
  <c r="B187" i="1"/>
  <c r="B159" i="1"/>
  <c r="C158" i="1"/>
  <c r="B131" i="1"/>
  <c r="C130" i="1"/>
  <c r="B103" i="1"/>
  <c r="C102" i="1"/>
  <c r="B75" i="1"/>
  <c r="C74" i="1"/>
  <c r="E163" i="1"/>
  <c r="E161" i="1"/>
  <c r="E78" i="1"/>
  <c r="F79" i="1"/>
  <c r="F77" i="1"/>
  <c r="B188" i="1"/>
  <c r="C187" i="1"/>
  <c r="B160" i="1"/>
  <c r="C159" i="1"/>
  <c r="C131" i="1"/>
  <c r="B132" i="1"/>
  <c r="B104" i="1"/>
  <c r="C103" i="1"/>
  <c r="C75" i="1"/>
  <c r="B76" i="1"/>
  <c r="E79" i="1"/>
  <c r="E77" i="1"/>
  <c r="B189" i="1"/>
  <c r="C188" i="1"/>
  <c r="B161" i="1"/>
  <c r="C160" i="1"/>
  <c r="C132" i="1"/>
  <c r="B133" i="1"/>
  <c r="C104" i="1"/>
  <c r="B105" i="1"/>
  <c r="C76" i="1"/>
  <c r="B77" i="1"/>
  <c r="B134" i="1"/>
  <c r="B190" i="1"/>
  <c r="C189" i="1"/>
  <c r="B162" i="1"/>
  <c r="C161" i="1"/>
  <c r="C133" i="1"/>
  <c r="B106" i="1"/>
  <c r="C105" i="1"/>
  <c r="C77" i="1"/>
  <c r="B78" i="1"/>
  <c r="B135" i="1"/>
  <c r="B163" i="1"/>
  <c r="B191" i="1"/>
  <c r="B107" i="1"/>
  <c r="B79" i="1"/>
  <c r="B136" i="1"/>
  <c r="C190" i="1"/>
  <c r="C162" i="1"/>
  <c r="C134" i="1"/>
  <c r="C106" i="1"/>
  <c r="C78" i="1"/>
  <c r="B164" i="1"/>
  <c r="B108" i="1"/>
  <c r="B80" i="1"/>
  <c r="B192" i="1"/>
  <c r="C79" i="1"/>
  <c r="C107" i="1"/>
  <c r="C163" i="1"/>
  <c r="C191" i="1"/>
  <c r="C135" i="1"/>
  <c r="B193" i="1"/>
  <c r="B137" i="1"/>
  <c r="B165" i="1"/>
  <c r="B109" i="1"/>
  <c r="B81" i="1"/>
  <c r="C80" i="1"/>
  <c r="C108" i="1"/>
  <c r="C164" i="1"/>
  <c r="C192" i="1"/>
  <c r="C136" i="1"/>
  <c r="B82" i="1"/>
  <c r="B167" i="1"/>
  <c r="C165" i="1"/>
  <c r="B166" i="1"/>
  <c r="B110" i="1"/>
  <c r="C109" i="1"/>
  <c r="B194" i="1"/>
  <c r="B138" i="1"/>
  <c r="C81" i="1"/>
  <c r="C137" i="1"/>
  <c r="C193" i="1"/>
  <c r="B195" i="1"/>
  <c r="B139" i="1"/>
  <c r="B83" i="1"/>
  <c r="B111" i="1"/>
  <c r="C194" i="1"/>
  <c r="C166" i="1"/>
  <c r="C138" i="1"/>
  <c r="C110" i="1"/>
  <c r="C82" i="1"/>
  <c r="B168" i="1"/>
  <c r="C167" i="1"/>
  <c r="C139" i="1"/>
  <c r="B140" i="1"/>
  <c r="C83" i="1"/>
  <c r="B84" i="1"/>
  <c r="B196" i="1"/>
  <c r="C195" i="1"/>
  <c r="C111" i="1"/>
  <c r="B112" i="1"/>
  <c r="B85" i="1"/>
  <c r="B169" i="1"/>
  <c r="B141" i="1"/>
  <c r="B197" i="1"/>
  <c r="B113" i="1"/>
  <c r="C140" i="1"/>
  <c r="C168" i="1"/>
  <c r="C112" i="1"/>
  <c r="C84" i="1"/>
  <c r="C196" i="1"/>
  <c r="B86" i="1"/>
  <c r="B198" i="1"/>
  <c r="C169" i="1"/>
  <c r="C197" i="1"/>
  <c r="B170" i="1"/>
  <c r="B142" i="1"/>
  <c r="C141" i="1"/>
  <c r="C113" i="1"/>
  <c r="B114" i="1"/>
  <c r="C85" i="1"/>
  <c r="B115" i="1"/>
  <c r="B143" i="1"/>
  <c r="B171" i="1"/>
  <c r="B199" i="1"/>
  <c r="B87" i="1"/>
  <c r="C170" i="1"/>
  <c r="C198" i="1"/>
  <c r="C142" i="1"/>
  <c r="C114" i="1"/>
  <c r="C86" i="1"/>
  <c r="B88" i="1"/>
  <c r="E45" i="1" a="1"/>
  <c r="E45" i="1"/>
  <c r="E16" i="1"/>
  <c r="B144" i="1"/>
  <c r="B172" i="1"/>
  <c r="B200" i="1"/>
  <c r="C143" i="1"/>
  <c r="C199" i="1"/>
  <c r="C171" i="1"/>
  <c r="B116" i="1"/>
  <c r="C115" i="1"/>
  <c r="C87" i="1"/>
  <c r="J45" i="1" a="1"/>
  <c r="J45" i="1"/>
  <c r="J16" i="1"/>
  <c r="F45" i="1" a="1"/>
  <c r="F45" i="1"/>
  <c r="F16" i="1"/>
  <c r="L45" i="1" a="1"/>
  <c r="L45" i="1"/>
  <c r="L16" i="1"/>
  <c r="E47" i="1" a="1"/>
  <c r="E47" i="1"/>
  <c r="E18" i="1"/>
  <c r="K47" i="1" a="1"/>
  <c r="K47" i="1"/>
  <c r="K18" i="1"/>
  <c r="J47" i="1" a="1"/>
  <c r="J47" i="1"/>
  <c r="J18" i="1"/>
  <c r="I31" i="1"/>
  <c r="I47" i="1" a="1"/>
  <c r="I47" i="1"/>
  <c r="I18" i="1"/>
  <c r="F47" i="1" a="1"/>
  <c r="F47" i="1"/>
  <c r="F18" i="1"/>
  <c r="L47" i="1" a="1"/>
  <c r="L47" i="1"/>
  <c r="L18" i="1"/>
  <c r="H47" i="1" a="1"/>
  <c r="H47" i="1"/>
  <c r="H18" i="1"/>
  <c r="C144" i="1"/>
  <c r="C172" i="1"/>
  <c r="C200" i="1"/>
  <c r="C116" i="1"/>
  <c r="C88" i="1"/>
  <c r="J55" i="1" a="1"/>
  <c r="J55" i="1"/>
  <c r="I27" i="1"/>
  <c r="H45" i="1" a="1"/>
  <c r="H45" i="1"/>
  <c r="H16" i="1"/>
  <c r="K45" i="1" a="1"/>
  <c r="K45" i="1"/>
  <c r="K16" i="1"/>
  <c r="G45" i="1" a="1"/>
  <c r="G45" i="1"/>
  <c r="G16" i="1"/>
  <c r="K46" i="1" a="1"/>
  <c r="K46" i="1"/>
  <c r="K17" i="1"/>
  <c r="J46" i="1" a="1"/>
  <c r="J46" i="1"/>
  <c r="J17" i="1"/>
  <c r="E46" i="1" a="1"/>
  <c r="E46" i="1"/>
  <c r="E17" i="1"/>
  <c r="L46" i="1" a="1"/>
  <c r="L46" i="1"/>
  <c r="L17" i="1"/>
  <c r="G46" i="1" a="1"/>
  <c r="G46" i="1"/>
  <c r="G17" i="1"/>
  <c r="I46" i="1" a="1"/>
  <c r="I46" i="1"/>
  <c r="I17" i="1"/>
  <c r="H46" i="1" a="1"/>
  <c r="H46" i="1"/>
  <c r="H17" i="1"/>
  <c r="F46" i="1" a="1"/>
  <c r="F46" i="1"/>
  <c r="F17" i="1"/>
  <c r="E48" i="1" a="1"/>
  <c r="E48" i="1"/>
  <c r="E19" i="1"/>
  <c r="L48" i="1" a="1"/>
  <c r="L48" i="1"/>
  <c r="L19" i="1"/>
  <c r="K48" i="1" a="1"/>
  <c r="K48" i="1"/>
  <c r="K19" i="1"/>
  <c r="H48" i="1" a="1"/>
  <c r="H48" i="1"/>
  <c r="H19" i="1"/>
  <c r="J48" i="1" a="1"/>
  <c r="J48" i="1"/>
  <c r="J19" i="1"/>
  <c r="F48" i="1" a="1"/>
  <c r="F48" i="1"/>
  <c r="F19" i="1"/>
  <c r="G48" i="1" a="1"/>
  <c r="G48" i="1"/>
  <c r="G19" i="1"/>
  <c r="G47" i="1" a="1"/>
  <c r="G47" i="1"/>
  <c r="G18" i="1"/>
  <c r="G31" i="1"/>
  <c r="K55" i="1" a="1"/>
  <c r="K55" i="1"/>
  <c r="I48" i="1" a="1"/>
  <c r="I48" i="1"/>
  <c r="I19" i="1"/>
  <c r="I45" i="1" a="1"/>
  <c r="I45" i="1"/>
  <c r="I16" i="1"/>
  <c r="G55" i="1" a="1"/>
  <c r="G55" i="1"/>
  <c r="G27" i="1"/>
  <c r="F50" i="1" a="1"/>
  <c r="F50" i="1"/>
  <c r="F21" i="1"/>
  <c r="E50" i="1" a="1"/>
  <c r="E50" i="1"/>
  <c r="E21" i="1"/>
  <c r="I50" i="1" a="1"/>
  <c r="I50" i="1"/>
  <c r="I21" i="1"/>
  <c r="J50" i="1" a="1"/>
  <c r="J50" i="1"/>
  <c r="J21" i="1"/>
  <c r="L50" i="1" a="1"/>
  <c r="L50" i="1"/>
  <c r="L21" i="1"/>
  <c r="H50" i="1" a="1"/>
  <c r="H50" i="1"/>
  <c r="H21" i="1"/>
  <c r="K50" i="1" a="1"/>
  <c r="K50" i="1"/>
  <c r="K21" i="1"/>
  <c r="G50" i="1" a="1"/>
  <c r="G50" i="1"/>
  <c r="G21" i="1"/>
  <c r="J31" i="1"/>
  <c r="H31" i="1"/>
  <c r="E31" i="1"/>
  <c r="F31" i="1"/>
  <c r="L55" i="1" a="1"/>
  <c r="L55" i="1"/>
  <c r="J27" i="1"/>
  <c r="H55" i="1" a="1"/>
  <c r="H55" i="1"/>
  <c r="I55" i="1" a="1"/>
  <c r="I55" i="1"/>
  <c r="I44" i="1"/>
  <c r="I15" i="1"/>
  <c r="I49" i="1"/>
  <c r="I20" i="1"/>
  <c r="E56" i="1" a="1"/>
  <c r="E56" i="1"/>
  <c r="J56" i="1" a="1"/>
  <c r="J56" i="1"/>
  <c r="I28" i="1"/>
  <c r="K56" i="1" a="1"/>
  <c r="K56" i="1"/>
  <c r="F56" i="1" a="1"/>
  <c r="F56" i="1"/>
  <c r="G56" i="1" a="1"/>
  <c r="G56" i="1"/>
  <c r="G28" i="1"/>
  <c r="L56" i="1" a="1"/>
  <c r="L56" i="1"/>
  <c r="H56" i="1" a="1"/>
  <c r="H56" i="1"/>
  <c r="J44" i="1"/>
  <c r="J15" i="1"/>
  <c r="J49" i="1"/>
  <c r="J20" i="1"/>
  <c r="F44" i="1"/>
  <c r="F15" i="1"/>
  <c r="F49" i="1"/>
  <c r="F20" i="1"/>
  <c r="G49" i="1"/>
  <c r="G20" i="1"/>
  <c r="G44" i="1"/>
  <c r="G15" i="1"/>
  <c r="E60" i="1" a="1"/>
  <c r="E60" i="1"/>
  <c r="L60" i="1" a="1"/>
  <c r="L60" i="1"/>
  <c r="J60" i="1" a="1"/>
  <c r="J60" i="1"/>
  <c r="I33" i="1"/>
  <c r="F60" i="1" a="1"/>
  <c r="F60" i="1"/>
  <c r="G60" i="1" a="1"/>
  <c r="G60" i="1"/>
  <c r="G33" i="1"/>
  <c r="H60" i="1" a="1"/>
  <c r="H60" i="1"/>
  <c r="K60" i="1" a="1"/>
  <c r="K60" i="1"/>
  <c r="I60" i="1" a="1"/>
  <c r="I60" i="1"/>
  <c r="K44" i="1"/>
  <c r="K15" i="1"/>
  <c r="K49" i="1"/>
  <c r="K20" i="1"/>
  <c r="L49" i="1"/>
  <c r="L20" i="1"/>
  <c r="L44" i="1"/>
  <c r="L15" i="1"/>
  <c r="K58" i="1" a="1"/>
  <c r="K58" i="1"/>
  <c r="I58" i="1" a="1"/>
  <c r="I58" i="1"/>
  <c r="G58" i="1" a="1"/>
  <c r="G58" i="1"/>
  <c r="G30" i="1"/>
  <c r="L58" i="1" a="1"/>
  <c r="L58" i="1"/>
  <c r="F58" i="1" a="1"/>
  <c r="F58" i="1"/>
  <c r="H58" i="1" a="1"/>
  <c r="H58" i="1"/>
  <c r="E58" i="1" a="1"/>
  <c r="E58" i="1"/>
  <c r="J58" i="1" a="1"/>
  <c r="J58" i="1"/>
  <c r="I30" i="1"/>
  <c r="E49" i="1"/>
  <c r="E20" i="1"/>
  <c r="E44" i="1"/>
  <c r="E15" i="1"/>
  <c r="F55" i="1" a="1"/>
  <c r="F55" i="1"/>
  <c r="H57" i="1" a="1"/>
  <c r="H57" i="1"/>
  <c r="J57" i="1" a="1"/>
  <c r="J57" i="1"/>
  <c r="E57" i="1" a="1"/>
  <c r="E57" i="1"/>
  <c r="L57" i="1" a="1"/>
  <c r="L57" i="1"/>
  <c r="I57" i="1" a="1"/>
  <c r="I57" i="1"/>
  <c r="K57" i="1" a="1"/>
  <c r="K57" i="1"/>
  <c r="G57" i="1" a="1"/>
  <c r="G57" i="1"/>
  <c r="G29" i="1"/>
  <c r="F57" i="1" a="1"/>
  <c r="F57" i="1"/>
  <c r="I56" i="1" a="1"/>
  <c r="I56" i="1"/>
  <c r="H44" i="1"/>
  <c r="H15" i="1"/>
  <c r="H49" i="1"/>
  <c r="H20" i="1"/>
  <c r="E55" i="1" a="1"/>
  <c r="E55" i="1"/>
  <c r="H27" i="1"/>
  <c r="H30" i="1"/>
  <c r="J33" i="1"/>
  <c r="J29" i="1"/>
  <c r="H33" i="1"/>
  <c r="J30" i="1"/>
  <c r="J28" i="1"/>
  <c r="E28" i="1"/>
  <c r="F28" i="1"/>
  <c r="F27" i="1"/>
  <c r="E27" i="1"/>
  <c r="E30" i="1"/>
  <c r="F30" i="1"/>
  <c r="F29" i="1"/>
  <c r="E29" i="1"/>
  <c r="H28" i="1"/>
  <c r="E33" i="1"/>
  <c r="F33" i="1"/>
  <c r="H54" i="1"/>
  <c r="H59" i="1"/>
  <c r="F59" i="1"/>
  <c r="F54" i="1"/>
  <c r="G54" i="1"/>
  <c r="G26" i="1"/>
  <c r="G59" i="1"/>
  <c r="G32" i="1"/>
  <c r="K54" i="1"/>
  <c r="K59" i="1"/>
  <c r="I29" i="1"/>
  <c r="J59" i="1"/>
  <c r="I32" i="1"/>
  <c r="J54" i="1"/>
  <c r="H29" i="1"/>
  <c r="I59" i="1"/>
  <c r="I54" i="1"/>
  <c r="L54" i="1"/>
  <c r="L59" i="1"/>
  <c r="E54" i="1"/>
  <c r="E59" i="1"/>
  <c r="J26" i="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<sst xmlns="http://schemas.openxmlformats.org/spreadsheetml/2006/main" count="46995" uniqueCount="3235">
  <si>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</si>
  <si>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</si>
  <si>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</si>
  <si>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</si>
  <si>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</si>
  <si>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</si>
  <si>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</si>
  <si>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</si>
  <si>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</si>
  <si>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</si>
  <si>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</si>
  <si>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</si>
  <si>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</si>
  <si>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</si>
  <si>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</si>
  <si>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</si>
  <si>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</si>
  <si>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</si>
  <si>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</si>
  <si>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</si>
  <si>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</si>
  <si>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</si>
  <si>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</si>
  <si>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</si>
  <si>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</si>
  <si>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</si>
  <si>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</si>
  <si>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</si>
  <si>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</si>
  <si>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</si>
  <si>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</si>
  <si>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</si>
  <si>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</si>
  <si>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</si>
  <si>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</si>
  <si>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</si>
  <si>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</si>
  <si>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</si>
  <si>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</si>
  <si>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</si>
  <si>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</si>
  <si>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</si>
  <si>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</si>
  <si>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</si>
  <si>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</si>
  <si>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</si>
  <si>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</si>
  <si>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</si>
  <si>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</si>
  <si>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</si>
  <si>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</si>
  <si>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</si>
  <si>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</si>
  <si>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</si>
  <si>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</si>
  <si>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</si>
  <si>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</si>
  <si>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</si>
  <si>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</si>
  <si>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</si>
  <si>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</si>
  <si>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</si>
  <si>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</si>
  <si>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</si>
  <si>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</si>
  <si>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</si>
  <si>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</si>
  <si>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</si>
  <si>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</si>
  <si>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</si>
  <si>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</si>
  <si>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</si>
  <si>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</si>
  <si>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</si>
  <si>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</si>
  <si>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</si>
  <si>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</si>
  <si>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</si>
  <si>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</si>
  <si>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</si>
  <si>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</si>
  <si>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</si>
  <si>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</si>
  <si>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</si>
  <si>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</si>
  <si>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</si>
  <si>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</si>
  <si>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</si>
  <si>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</si>
  <si>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</si>
  <si>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</si>
  <si>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</si>
  <si>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</si>
  <si>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</si>
  <si>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</si>
  <si>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</si>
  <si>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</si>
  <si>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</si>
  <si>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</si>
  <si>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</si>
  <si>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</si>
  <si>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</si>
  <si>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</si>
  <si>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</si>
  <si>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</si>
  <si>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</si>
  <si>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</si>
  <si>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</si>
  <si>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</si>
  <si>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</si>
  <si>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</si>
  <si>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</si>
  <si>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</si>
  <si>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</si>
  <si>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</si>
  <si>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</si>
  <si>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</si>
  <si>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</si>
  <si>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</si>
  <si>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</si>
  <si>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</si>
  <si>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</si>
  <si>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</si>
  <si>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</si>
  <si>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</si>
  <si>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</si>
  <si>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</si>
  <si>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</si>
  <si>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</si>
  <si>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</si>
  <si>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</si>
  <si>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</si>
  <si>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</si>
  <si>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</si>
  <si>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</si>
  <si>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</si>
  <si>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</si>
  <si>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</si>
  <si>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</si>
  <si>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</si>
  <si>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</si>
  <si>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</si>
  <si>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</si>
  <si>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</si>
  <si>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</si>
  <si>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</si>
  <si>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</si>
  <si>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</si>
  <si>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</si>
  <si>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</si>
  <si>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</si>
  <si>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</si>
  <si>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</si>
  <si>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</si>
  <si>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</si>
  <si>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</si>
  <si>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</si>
  <si>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</si>
  <si>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</si>
  <si>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</si>
  <si>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</si>
  <si>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</si>
  <si>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</si>
  <si>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</si>
  <si>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</si>
  <si>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</si>
  <si>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</si>
  <si>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</si>
  <si>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</si>
  <si>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</si>
  <si>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</si>
  <si>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</si>
  <si>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</si>
  <si>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</si>
  <si>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</si>
  <si>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</si>
  <si>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</si>
  <si>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</si>
  <si>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</si>
  <si>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</si>
  <si>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</si>
  <si>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</si>
  <si>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</si>
  <si>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</si>
  <si>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</si>
  <si>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</si>
  <si>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</si>
  <si>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</si>
  <si>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</si>
  <si>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</si>
  <si>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</si>
  <si>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</si>
  <si>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</si>
  <si>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</si>
  <si>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</si>
  <si>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</si>
  <si>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</si>
  <si>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</si>
  <si>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</si>
  <si>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</si>
  <si>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</si>
  <si>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</si>
  <si>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</si>
  <si>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</si>
  <si>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</si>
  <si>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</si>
  <si>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</si>
  <si>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</si>
  <si>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</si>
  <si>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</si>
  <si>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</si>
  <si>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</si>
  <si>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</si>
  <si>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</si>
  <si>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</si>
  <si>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</si>
  <si>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</si>
  <si>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</si>
  <si>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</si>
  <si>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</si>
  <si>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</si>
  <si>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</si>
  <si>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</si>
  <si>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</si>
  <si>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</si>
  <si>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</si>
  <si>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</si>
  <si>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</si>
  <si>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</si>
  <si>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</si>
  <si>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</si>
  <si>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</si>
  <si>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</si>
  <si>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</si>
  <si>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</si>
  <si>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</si>
  <si>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</si>
  <si>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</si>
  <si>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</si>
  <si>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</si>
  <si>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</si>
  <si>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</si>
  <si>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</si>
  <si>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</si>
  <si>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</si>
  <si>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</si>
  <si>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</si>
  <si>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</si>
  <si>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</si>
  <si>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</si>
  <si>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</si>
  <si>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</si>
  <si>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</si>
  <si>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</si>
  <si>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</si>
  <si>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</si>
  <si>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</si>
  <si>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</si>
  <si>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</si>
  <si>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</si>
  <si>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</si>
  <si>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</si>
  <si>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</si>
  <si>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</si>
  <si>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</si>
  <si>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</si>
  <si>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</si>
  <si>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</si>
  <si>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</si>
  <si>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</si>
  <si>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</si>
  <si>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</si>
  <si>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</si>
  <si>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</si>
  <si>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</si>
  <si>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</si>
  <si>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</si>
  <si>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</si>
  <si>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</si>
  <si>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</si>
  <si>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</si>
  <si>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</si>
  <si>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</si>
  <si>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</si>
  <si>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</si>
  <si>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</si>
  <si>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</si>
  <si>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</si>
  <si>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</si>
  <si>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</si>
  <si>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</si>
  <si>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</si>
  <si>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</si>
  <si>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</si>
  <si>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</si>
  <si>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</si>
  <si>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</si>
  <si>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</si>
  <si>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</si>
  <si>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</si>
  <si>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</si>
  <si>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</si>
  <si>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</si>
  <si>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</si>
  <si>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</si>
  <si>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</si>
  <si>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</si>
  <si>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</si>
  <si>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</si>
  <si>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</si>
  <si>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</si>
  <si>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</si>
  <si>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</si>
  <si>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</si>
  <si>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</si>
  <si>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</si>
  <si>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</si>
  <si>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</si>
  <si>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</si>
  <si>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</si>
  <si>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</si>
  <si>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</si>
  <si>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</si>
  <si>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</si>
  <si>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</si>
  <si>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</si>
  <si>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</si>
  <si>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</si>
  <si>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</si>
  <si>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</si>
  <si>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</si>
  <si>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</si>
  <si>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</si>
  <si>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</si>
  <si>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</si>
  <si>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</si>
  <si>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</si>
  <si>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</si>
  <si>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</si>
  <si>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</si>
  <si>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</si>
  <si>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</si>
  <si>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</si>
  <si>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</si>
  <si>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</si>
  <si>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</si>
  <si>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</si>
  <si>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</si>
  <si>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</si>
  <si>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</si>
  <si>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</si>
  <si>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</si>
  <si>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</si>
  <si>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</si>
  <si>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</si>
  <si>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</si>
  <si>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</si>
  <si>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</si>
  <si>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</si>
  <si>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</si>
  <si>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</si>
  <si>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</si>
  <si>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</si>
  <si>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</si>
  <si>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</si>
  <si>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</si>
  <si>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</si>
  <si>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</si>
  <si>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</si>
  <si>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</si>
  <si>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</si>
  <si>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</si>
  <si>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</si>
  <si>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</si>
  <si>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</si>
  <si>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</si>
  <si>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</si>
  <si>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</si>
  <si>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</si>
  <si>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</si>
  <si>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</si>
  <si>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</si>
  <si>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</si>
  <si>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</si>
  <si>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</si>
  <si>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</si>
  <si>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</si>
  <si>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</si>
  <si>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</si>
  <si>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</si>
  <si>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</si>
  <si>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</si>
  <si>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</si>
  <si>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</si>
  <si>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</si>
  <si>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</si>
  <si>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</si>
  <si>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</si>
  <si>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</si>
  <si>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</si>
  <si>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</si>
  <si>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</si>
  <si>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</si>
  <si>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</si>
  <si>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</si>
  <si>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</si>
  <si>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</si>
  <si>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</si>
  <si>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</si>
  <si>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</si>
  <si>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</si>
  <si>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</si>
  <si>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</si>
  <si>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</si>
  <si>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</si>
  <si>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</si>
  <si>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</si>
  <si>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</si>
  <si>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</si>
  <si>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</si>
  <si>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</si>
  <si>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</si>
  <si>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</si>
  <si>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</si>
  <si>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</si>
  <si>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</si>
  <si>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</si>
  <si>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</si>
  <si>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</si>
  <si>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</si>
  <si>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</si>
  <si>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</si>
  <si>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</si>
  <si>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</si>
  <si>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</si>
  <si>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</si>
  <si>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</si>
  <si>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</si>
  <si>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</si>
  <si>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</si>
  <si>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</si>
  <si>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</si>
  <si>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</si>
  <si>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</si>
  <si>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</si>
  <si>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</si>
  <si>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</si>
  <si>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</si>
  <si>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</si>
  <si>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</si>
  <si>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</si>
  <si>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</si>
  <si>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</si>
  <si>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</si>
  <si>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</si>
  <si>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</si>
  <si>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</si>
  <si>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</si>
  <si>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</si>
  <si>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</si>
  <si>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</si>
  <si>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</si>
  <si>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</si>
  <si>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</si>
  <si>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</si>
  <si>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</si>
  <si>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</si>
  <si>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</si>
  <si>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</si>
  <si>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</si>
  <si>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</si>
  <si>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</si>
  <si>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</si>
  <si>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</si>
  <si>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</si>
  <si>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</si>
  <si>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</si>
  <si>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</si>
  <si>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</si>
  <si>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</si>
  <si>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</si>
  <si>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</si>
  <si>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</si>
  <si>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</si>
  <si>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</si>
  <si>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</si>
  <si>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</si>
  <si>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</si>
  <si>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</si>
  <si>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</si>
  <si>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</si>
  <si>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</si>
  <si>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</si>
  <si>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</si>
  <si>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</si>
  <si>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</si>
  <si>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</si>
  <si>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</si>
  <si>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</si>
  <si>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</si>
  <si>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</si>
  <si>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</si>
  <si>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</si>
  <si>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</si>
  <si>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</si>
  <si>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</si>
  <si>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</si>
  <si>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</si>
  <si>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</si>
  <si>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</si>
  <si>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</si>
  <si>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</si>
  <si>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</si>
  <si>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</si>
  <si>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</si>
  <si>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</si>
  <si>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</si>
  <si>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</si>
  <si>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</si>
  <si>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</si>
  <si>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</si>
  <si>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</si>
  <si>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</si>
  <si>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</si>
  <si>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</si>
  <si>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</si>
  <si>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</si>
  <si>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</si>
  <si>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</si>
  <si>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</si>
  <si>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</si>
  <si>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</si>
  <si>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</si>
  <si>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</si>
  <si>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</si>
  <si>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</si>
  <si>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</si>
  <si>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</si>
  <si>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</si>
  <si>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</si>
  <si>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</si>
  <si>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</si>
  <si>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</si>
  <si>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</si>
  <si>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</si>
  <si>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</si>
  <si>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</si>
  <si>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</si>
  <si>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</si>
  <si>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</si>
  <si>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</si>
  <si>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</si>
  <si>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</si>
  <si>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</si>
  <si>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</si>
  <si>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</si>
  <si>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</si>
  <si>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</si>
  <si>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</si>
  <si>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</si>
  <si>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</si>
  <si>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</si>
  <si>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</si>
  <si>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</si>
  <si>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</si>
  <si>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</si>
  <si>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</si>
  <si>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</si>
  <si>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</si>
  <si>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</si>
  <si>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</si>
  <si>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</si>
  <si>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</si>
  <si>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</si>
  <si>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</si>
  <si>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</si>
  <si>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</si>
  <si>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</si>
  <si>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</si>
  <si>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</si>
  <si>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</si>
  <si>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</si>
  <si>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</si>
  <si>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</si>
  <si>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</si>
  <si>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</si>
  <si>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</si>
  <si>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</si>
  <si>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</si>
  <si>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</si>
  <si>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</si>
  <si>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</si>
  <si>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</si>
  <si>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</si>
  <si>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</si>
  <si>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</si>
  <si>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</si>
  <si>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</si>
  <si>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</si>
  <si>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</si>
  <si>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</si>
  <si>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</si>
  <si>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</si>
  <si>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</si>
  <si>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</si>
  <si>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</si>
  <si>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</si>
  <si>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</si>
  <si>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</si>
  <si>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</si>
  <si>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</si>
  <si>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</si>
  <si>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</si>
  <si>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</si>
  <si>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</si>
  <si>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</si>
  <si>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</si>
  <si>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</si>
  <si>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</si>
  <si>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</si>
  <si>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</si>
  <si>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</si>
  <si>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</si>
  <si>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</si>
  <si>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</si>
  <si>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</si>
  <si>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</si>
  <si>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</si>
  <si>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</si>
  <si>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</si>
  <si>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</si>
  <si>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</si>
  <si>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</si>
  <si>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</si>
  <si>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</si>
  <si>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</si>
  <si>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</si>
  <si>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</si>
  <si>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</si>
  <si>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</si>
  <si>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</si>
  <si>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</si>
  <si>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</si>
  <si>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</si>
  <si>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</si>
  <si>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</si>
  <si>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</si>
  <si>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</si>
  <si>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</si>
  <si>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</si>
  <si>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</si>
  <si>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</si>
  <si>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</si>
  <si>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</si>
  <si>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</si>
  <si>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</si>
  <si>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</si>
  <si>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</si>
  <si>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</si>
  <si>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</si>
  <si>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</si>
  <si>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</si>
  <si>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</si>
  <si>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</si>
  <si>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</si>
  <si>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</si>
  <si>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</si>
  <si>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</si>
  <si>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</si>
  <si>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</si>
  <si>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</si>
  <si>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</si>
  <si>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</si>
  <si>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</si>
  <si>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</si>
  <si>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</si>
  <si>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</si>
  <si>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</si>
  <si>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</si>
  <si>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</si>
  <si>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</si>
  <si>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</si>
  <si>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</si>
  <si>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</si>
  <si>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</si>
  <si>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</si>
  <si>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</si>
  <si>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</si>
  <si>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</si>
  <si>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</si>
  <si>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</si>
  <si>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</si>
  <si>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</si>
  <si>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</si>
  <si>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</si>
  <si>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</si>
  <si>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</si>
  <si>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</si>
  <si>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</si>
  <si>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</si>
  <si>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</si>
  <si>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</si>
  <si>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</si>
  <si>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</si>
  <si>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</si>
  <si>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</si>
  <si>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</si>
  <si>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</si>
  <si>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</si>
  <si>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</si>
  <si>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</si>
  <si>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</si>
  <si>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</si>
  <si>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</si>
  <si>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</si>
  <si>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</si>
  <si>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</si>
  <si>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</si>
  <si>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</si>
  <si>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</si>
  <si>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</si>
  <si>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</si>
  <si>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</si>
  <si>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</si>
  <si>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</si>
  <si>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</si>
  <si>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</si>
  <si>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</si>
  <si>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</si>
  <si>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</si>
  <si>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</si>
  <si>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</si>
  <si>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</si>
  <si>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</si>
  <si>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</si>
  <si>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</si>
  <si>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</si>
  <si>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</si>
  <si>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</si>
  <si>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</si>
  <si>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</si>
  <si>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</si>
  <si>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</si>
  <si>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</si>
  <si>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</si>
  <si>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</si>
  <si>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</si>
  <si>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</si>
  <si>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</si>
  <si>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</si>
  <si>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</si>
  <si>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</si>
  <si>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</si>
  <si>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</si>
  <si>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</si>
  <si>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</si>
  <si>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</si>
  <si>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</si>
  <si>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</si>
  <si>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</si>
  <si>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</si>
  <si>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</si>
  <si>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</si>
  <si>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</si>
  <si>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</si>
  <si>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</si>
  <si>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</si>
  <si>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</si>
  <si>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</si>
  <si>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</si>
  <si>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</si>
  <si>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</si>
  <si>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</si>
  <si>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</si>
  <si>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</si>
  <si>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</si>
  <si>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</si>
  <si>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</si>
  <si>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</si>
  <si>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</si>
  <si>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</si>
  <si>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</si>
  <si>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</si>
  <si>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</si>
  <si>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</si>
  <si>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</si>
  <si>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</si>
  <si>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</si>
  <si>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</si>
  <si>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</si>
  <si>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</si>
  <si>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</si>
  <si>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</si>
  <si>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</si>
  <si>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</si>
  <si>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</si>
  <si>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</si>
  <si>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</si>
  <si>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</si>
  <si>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</si>
  <si>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</si>
  <si>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</si>
  <si>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</si>
  <si>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</si>
  <si>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</si>
  <si>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</si>
  <si>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</si>
  <si>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</si>
  <si>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</si>
  <si>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</si>
  <si>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</si>
  <si>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</si>
  <si>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</si>
  <si>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</si>
  <si>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</si>
  <si>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</si>
  <si>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</si>
  <si>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</si>
  <si>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</si>
  <si>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</si>
  <si>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</si>
  <si>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</si>
  <si>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</si>
  <si>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</si>
  <si>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</si>
  <si>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</si>
  <si>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</si>
  <si>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</si>
  <si>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</si>
  <si>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</si>
  <si>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</si>
  <si>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</si>
  <si>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</si>
  <si>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</si>
  <si>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</si>
  <si>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</si>
  <si>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</si>
  <si>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</si>
  <si>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</si>
  <si>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</si>
  <si>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</si>
  <si>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</si>
  <si>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</si>
  <si>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</si>
  <si>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</si>
  <si>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</si>
  <si>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</si>
  <si>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</si>
  <si>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</si>
  <si>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</si>
  <si>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</si>
  <si>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</si>
  <si>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</si>
  <si>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</si>
  <si>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</si>
  <si>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</si>
  <si>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</si>
  <si>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</si>
  <si>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</si>
  <si>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</si>
  <si>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</si>
  <si>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</si>
  <si>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</si>
  <si>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</si>
  <si>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</si>
  <si>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</si>
  <si>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</si>
  <si>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</si>
  <si>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</si>
  <si>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</si>
  <si>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</si>
  <si>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</si>
  <si>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</si>
  <si>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</si>
  <si>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</si>
  <si>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</si>
  <si>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</si>
  <si>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</si>
  <si>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</si>
  <si>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</si>
  <si>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</si>
  <si>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</si>
  <si>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</si>
  <si>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</si>
  <si>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</si>
  <si>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</si>
  <si>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</si>
  <si>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</si>
  <si>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</si>
  <si>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</si>
  <si>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</si>
  <si>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</si>
  <si>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</si>
  <si>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</si>
  <si>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</si>
  <si>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</si>
  <si>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</si>
  <si>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</si>
  <si>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</si>
  <si>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</si>
  <si>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</si>
  <si>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</si>
  <si>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</si>
  <si>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</si>
  <si>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</si>
  <si>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</si>
  <si>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</si>
  <si>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</si>
  <si>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</si>
  <si>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</si>
  <si>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</si>
  <si>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</si>
  <si>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</si>
  <si>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</si>
  <si>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</si>
  <si>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</si>
  <si>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</si>
  <si>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</si>
  <si>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</si>
  <si>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</si>
  <si>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</si>
  <si>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</si>
  <si>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</si>
  <si>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</si>
  <si>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</si>
  <si>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</si>
  <si>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</si>
  <si>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</si>
  <si>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</si>
  <si>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</si>
  <si>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</si>
  <si>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</si>
  <si>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</si>
  <si>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</si>
  <si>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</si>
  <si>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</si>
  <si>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</si>
  <si>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</si>
  <si>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</si>
  <si>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</si>
  <si>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</si>
  <si>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</si>
  <si>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</si>
  <si>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</si>
  <si>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</si>
  <si>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</si>
  <si>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</si>
  <si>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</si>
  <si>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</si>
  <si>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</si>
  <si>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</si>
  <si>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</si>
  <si>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</si>
  <si>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</si>
  <si>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</si>
  <si>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</si>
  <si>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</si>
  <si>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</si>
  <si>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</si>
  <si>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</si>
  <si>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</si>
  <si>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</si>
  <si>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</si>
  <si>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</si>
  <si>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</si>
  <si>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</si>
  <si>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</si>
  <si>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</si>
  <si>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</si>
  <si>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</si>
  <si>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</si>
  <si>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</si>
  <si>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</si>
  <si>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</si>
  <si>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</si>
  <si>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</si>
  <si>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</si>
  <si>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</si>
  <si>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</si>
  <si>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</si>
  <si>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</si>
  <si>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</si>
  <si>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</si>
  <si>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</si>
  <si>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</si>
  <si>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</si>
  <si>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</si>
  <si>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</si>
  <si>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</si>
  <si>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</si>
  <si>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</si>
  <si>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</si>
  <si>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</si>
  <si>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</si>
  <si>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</si>
  <si>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</si>
  <si>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</si>
  <si>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</si>
  <si>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</si>
  <si>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</si>
  <si>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</si>
  <si>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</si>
  <si>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</si>
  <si>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</si>
  <si>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</si>
  <si>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</si>
  <si>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</si>
  <si>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</si>
  <si>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</si>
  <si>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</si>
  <si>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</si>
  <si>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</si>
  <si>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</si>
  <si>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</si>
  <si>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</si>
  <si>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</si>
  <si>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</si>
  <si>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</si>
  <si>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</si>
  <si>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</si>
  <si>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</si>
  <si>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</si>
  <si>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</si>
  <si>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</si>
  <si>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</si>
  <si>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</si>
  <si>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</si>
  <si>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</si>
  <si>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</si>
  <si>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</si>
  <si>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</si>
  <si>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</si>
  <si>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</si>
  <si>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</si>
  <si>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</si>
  <si>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</si>
  <si>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</si>
  <si>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</si>
  <si>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</si>
  <si>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</si>
  <si>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</si>
  <si>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</si>
  <si>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</si>
  <si>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</si>
  <si>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</si>
  <si>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</si>
  <si>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</si>
  <si>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</si>
  <si>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</si>
  <si>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</si>
  <si>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</si>
  <si>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</si>
  <si>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</si>
  <si>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</si>
  <si>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</si>
  <si>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</si>
  <si>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</si>
  <si>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</si>
  <si>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</si>
  <si>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</si>
  <si>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</si>
  <si>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</si>
  <si>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</si>
  <si>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</si>
  <si>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</si>
  <si>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</si>
  <si>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</si>
  <si>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</si>
  <si>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</si>
  <si>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</si>
  <si>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</si>
  <si>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</si>
  <si>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</si>
  <si>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</si>
  <si>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</si>
  <si>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</si>
  <si>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</si>
  <si>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</si>
  <si>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</si>
  <si>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</si>
  <si>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</si>
  <si>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</si>
  <si>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</si>
  <si>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</si>
  <si>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</si>
  <si>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</si>
  <si>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</si>
  <si>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</si>
  <si>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</si>
  <si>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</si>
  <si>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</si>
  <si>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</si>
  <si>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</si>
  <si>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</si>
  <si>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</si>
  <si>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</si>
  <si>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</si>
  <si>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</si>
  <si>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</si>
  <si>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</si>
  <si>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</si>
  <si>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</si>
  <si>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</si>
  <si>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</si>
  <si>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</si>
  <si>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</si>
  <si>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</si>
  <si>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</si>
  <si>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</si>
  <si>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</si>
  <si>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</si>
  <si>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</si>
  <si>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</si>
  <si>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</si>
  <si>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</si>
  <si>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</si>
  <si>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</si>
  <si>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</si>
  <si>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</si>
  <si>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</si>
  <si>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</si>
  <si>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</si>
  <si>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</si>
  <si>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</si>
  <si>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</si>
  <si>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</si>
  <si>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</si>
  <si>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</si>
  <si>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</si>
  <si>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</si>
  <si>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</si>
  <si>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</si>
  <si>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</si>
  <si>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</si>
  <si>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</si>
  <si>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</si>
  <si>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</si>
  <si>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</si>
  <si>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</si>
  <si>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</si>
  <si>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</si>
  <si>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</si>
  <si>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</si>
  <si>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</si>
  <si>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</si>
  <si>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</si>
  <si>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</si>
  <si>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</si>
  <si>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</si>
  <si>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</si>
  <si>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</si>
  <si>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</si>
  <si>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</si>
  <si>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</si>
  <si>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</si>
  <si>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</si>
  <si>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</si>
  <si>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</si>
  <si>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</si>
  <si>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</si>
  <si>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</si>
  <si>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</si>
  <si>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</si>
  <si>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</si>
  <si>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</si>
  <si>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</si>
  <si>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</si>
  <si>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</si>
  <si>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</si>
  <si>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</si>
  <si>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</si>
  <si>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</si>
  <si>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</si>
  <si>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</si>
  <si>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</si>
  <si>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</si>
  <si>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</si>
  <si>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</si>
  <si>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</si>
  <si>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</si>
  <si>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</si>
  <si>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</si>
  <si>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</si>
  <si>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</si>
  <si>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</si>
  <si>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</si>
  <si>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</si>
  <si>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</si>
  <si>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</si>
  <si>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</si>
  <si>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</si>
  <si>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</si>
  <si>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</si>
  <si>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</si>
  <si>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</si>
  <si>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</si>
  <si>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</si>
  <si>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</si>
  <si>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</si>
  <si>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</si>
  <si>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</si>
  <si>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</si>
  <si>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</si>
  <si>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</si>
  <si>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</si>
  <si>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</si>
  <si>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</si>
  <si>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</si>
  <si>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</si>
  <si>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</si>
  <si>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</si>
  <si>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</si>
  <si>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</si>
  <si>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</si>
  <si>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</si>
  <si>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</si>
  <si>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</si>
  <si>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</si>
  <si>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</si>
  <si>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</si>
  <si>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</si>
  <si>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</si>
  <si>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</si>
  <si>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</si>
  <si>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</si>
  <si>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</si>
  <si>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</si>
  <si>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</si>
  <si>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</si>
  <si>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</si>
  <si>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</si>
  <si>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</si>
  <si>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</si>
  <si>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</si>
  <si>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</si>
  <si>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</si>
  <si>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</si>
  <si>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</si>
  <si>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</si>
  <si>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</si>
  <si>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</si>
  <si>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</si>
  <si>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</si>
  <si>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</si>
  <si>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</si>
  <si>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</si>
  <si>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</si>
  <si>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</si>
  <si>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</si>
  <si>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</si>
  <si>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</si>
  <si>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</si>
  <si>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</si>
  <si>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</si>
  <si>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</si>
  <si>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</si>
  <si>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</si>
  <si>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</si>
  <si>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</si>
  <si>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</si>
  <si>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</si>
  <si>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</si>
  <si>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</si>
  <si>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</si>
  <si>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</si>
  <si>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</si>
  <si>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</si>
  <si>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</si>
  <si>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</si>
  <si>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</si>
  <si>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</si>
  <si>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</si>
  <si>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</si>
  <si>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</si>
  <si>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</si>
  <si>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</si>
  <si>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</si>
  <si>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</si>
  <si>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</si>
  <si>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</si>
  <si>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</si>
  <si>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</si>
  <si>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</si>
  <si>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</si>
  <si>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</si>
  <si>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</si>
  <si>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</si>
  <si>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</si>
  <si>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</si>
  <si>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</si>
  <si>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</si>
  <si>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</si>
  <si>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</si>
  <si>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</si>
  <si>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</si>
  <si>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</si>
  <si>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</si>
  <si>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</si>
  <si>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</si>
  <si>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</si>
  <si>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</si>
  <si>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</si>
  <si>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</si>
  <si>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</si>
  <si>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</si>
  <si>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</si>
  <si>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</si>
  <si>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</si>
  <si>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</si>
  <si>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</si>
  <si>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</si>
  <si>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</si>
  <si>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</si>
  <si>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</si>
  <si>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</si>
  <si>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</si>
  <si>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</si>
  <si>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</si>
  <si>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</si>
  <si>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</si>
  <si>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</si>
  <si>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</si>
  <si>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</si>
  <si>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</si>
  <si>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</si>
  <si>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</si>
  <si>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</si>
  <si>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</si>
  <si>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</si>
  <si>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</si>
  <si>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</si>
  <si>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</si>
  <si>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</si>
  <si>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</si>
  <si>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</si>
  <si>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</si>
  <si>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</si>
  <si>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</si>
  <si>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</si>
  <si>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</si>
  <si>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</si>
  <si>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</si>
  <si>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</si>
  <si>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</si>
  <si>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</si>
  <si>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</si>
  <si>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</si>
  <si>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</si>
  <si>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</si>
  <si>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</si>
  <si>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</si>
  <si>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</si>
  <si>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</si>
  <si>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</si>
  <si>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</si>
  <si>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</si>
  <si>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</si>
  <si>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</si>
  <si>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</si>
  <si>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</si>
  <si>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</si>
  <si>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</si>
  <si>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</si>
  <si>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</si>
  <si>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</si>
  <si>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</si>
  <si>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</si>
  <si>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</si>
  <si>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</si>
  <si>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</si>
  <si>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</si>
  <si>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</si>
  <si>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</si>
  <si>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</si>
  <si>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</si>
  <si>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</si>
  <si>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</si>
  <si>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</si>
  <si>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</si>
  <si>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</si>
  <si>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</si>
  <si>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</si>
  <si>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</si>
  <si>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</si>
  <si>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</si>
  <si>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</si>
  <si>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</si>
  <si>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</si>
  <si>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</si>
  <si>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</si>
  <si>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</si>
  <si>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</si>
  <si>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</si>
  <si>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</si>
  <si>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</si>
  <si>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</si>
  <si>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</si>
  <si>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</si>
  <si>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</si>
  <si>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</si>
  <si>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</si>
  <si>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</si>
  <si>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</si>
  <si>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</si>
  <si>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</si>
  <si>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</si>
  <si>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</si>
  <si>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</si>
  <si>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</si>
  <si>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</si>
  <si>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</si>
  <si>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</si>
  <si>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</si>
  <si>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</si>
  <si>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</si>
  <si>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</si>
  <si>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</si>
  <si>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</si>
  <si>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</si>
  <si>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</si>
  <si>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</si>
  <si>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</si>
  <si>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</si>
  <si>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</si>
  <si>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</si>
  <si>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</si>
  <si>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</si>
  <si>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</si>
  <si>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</si>
  <si>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</si>
  <si>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</si>
  <si>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</si>
  <si>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</si>
  <si>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</si>
  <si>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</si>
  <si>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</si>
  <si>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</si>
  <si>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</si>
  <si>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</si>
  <si>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</si>
  <si>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</si>
  <si>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</si>
  <si>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</si>
  <si>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</si>
  <si>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</si>
  <si>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</si>
  <si>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</si>
  <si>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</si>
  <si>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</si>
  <si>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</si>
  <si>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</si>
  <si>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</si>
  <si>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</si>
  <si>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</si>
  <si>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</si>
  <si>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</si>
  <si>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</si>
  <si>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</si>
  <si>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</si>
  <si>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</si>
  <si>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</si>
  <si>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</si>
  <si>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</si>
  <si>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</si>
  <si>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</si>
  <si>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</si>
  <si>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</si>
  <si>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</si>
  <si>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</si>
  <si>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</si>
  <si>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</si>
  <si>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</si>
  <si>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</si>
  <si>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</si>
  <si>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</si>
  <si>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</si>
  <si>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</si>
  <si>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</si>
  <si>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</si>
  <si>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</si>
  <si>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</si>
  <si>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</si>
  <si>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</si>
  <si>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</si>
  <si>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</si>
  <si>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</si>
  <si>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</si>
  <si>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</si>
  <si>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</si>
  <si>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</si>
  <si>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</si>
  <si>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</si>
  <si>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</si>
  <si>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</si>
  <si>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</si>
  <si>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</si>
  <si>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</si>
  <si>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</si>
  <si>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</si>
  <si>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</si>
  <si>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</si>
  <si>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</si>
  <si>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</si>
  <si>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</si>
  <si>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</si>
  <si>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</si>
  <si>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</si>
  <si>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</si>
  <si>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</si>
  <si>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</si>
  <si>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</si>
  <si>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</si>
  <si>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</si>
  <si>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</si>
  <si>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</si>
  <si>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</si>
  <si>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</si>
  <si>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</si>
  <si>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</si>
  <si>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</si>
  <si>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</si>
  <si>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</si>
  <si>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</si>
  <si>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</si>
  <si>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</si>
  <si>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</si>
  <si>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</si>
  <si>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</si>
  <si>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</si>
  <si>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</si>
  <si>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</si>
  <si>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</si>
  <si>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</si>
  <si>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</si>
  <si>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</si>
  <si>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</si>
  <si>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</si>
  <si>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</si>
  <si>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</si>
  <si>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</si>
  <si>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</si>
  <si>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</si>
  <si>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</si>
  <si>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</si>
  <si>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</si>
  <si>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</si>
  <si>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</si>
  <si>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</si>
  <si>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</si>
  <si>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</si>
  <si>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</si>
  <si>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</si>
  <si>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</si>
  <si>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</si>
  <si>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</si>
  <si>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</si>
  <si>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</si>
  <si>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</si>
  <si>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</si>
  <si>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</si>
  <si>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</si>
  <si>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</si>
  <si>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</si>
  <si>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</si>
  <si>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</si>
  <si>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</si>
  <si>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</si>
  <si>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</si>
  <si>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</si>
  <si>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</si>
  <si>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</si>
  <si>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</si>
  <si>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</si>
  <si>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</si>
  <si>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</si>
  <si>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</si>
  <si>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</si>
  <si>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</si>
  <si>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</si>
  <si>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</si>
  <si>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</si>
  <si>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</si>
  <si>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</si>
  <si>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</si>
  <si>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</si>
  <si>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</si>
  <si>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</si>
  <si>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</si>
  <si>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</si>
  <si>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</si>
  <si>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</si>
  <si>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</si>
  <si>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</si>
  <si>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</si>
  <si>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</si>
  <si>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</si>
  <si>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</si>
  <si>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</si>
  <si>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</si>
  <si>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</si>
  <si>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</si>
  <si>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</si>
  <si>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</si>
  <si>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</si>
  <si>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</si>
  <si>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</si>
  <si>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</si>
  <si>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</si>
  <si>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</si>
  <si>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</si>
  <si>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</si>
  <si>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</si>
  <si>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</si>
  <si>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</si>
  <si>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</si>
  <si>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</si>
  <si>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</si>
  <si>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</si>
  <si>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</si>
  <si>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</si>
  <si>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</si>
  <si>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</si>
  <si>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</si>
  <si>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</si>
  <si>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</si>
  <si>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</si>
  <si>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</si>
  <si>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</si>
  <si>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</si>
  <si>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</si>
  <si>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</si>
  <si>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</si>
  <si>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</si>
  <si>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</si>
  <si>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</si>
  <si>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</si>
  <si>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</si>
  <si>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</si>
  <si>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</si>
  <si>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</si>
  <si>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</si>
  <si>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</si>
  <si>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</si>
  <si>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</si>
  <si>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</si>
  <si>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</si>
  <si>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</si>
  <si>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</si>
  <si>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</si>
  <si>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</si>
  <si>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</si>
  <si>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</si>
  <si>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</si>
  <si>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</si>
  <si>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</si>
  <si>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</si>
  <si>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</si>
  <si>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</si>
  <si>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</si>
  <si>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</si>
  <si>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</si>
  <si>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</si>
  <si>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</si>
  <si>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</si>
  <si>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</si>
  <si>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</si>
  <si>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</si>
  <si>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</si>
  <si>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</si>
  <si>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</si>
  <si>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</si>
  <si>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</si>
  <si>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</si>
  <si>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</si>
  <si>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</si>
  <si>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</si>
  <si>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</si>
  <si>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</si>
  <si>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</si>
  <si>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</si>
  <si>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</si>
  <si>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</si>
  <si>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</si>
  <si>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</si>
  <si>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</si>
  <si>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</si>
  <si>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</si>
  <si>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</si>
  <si>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</si>
  <si>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</si>
  <si>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</si>
  <si>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</si>
  <si>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</si>
  <si>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</si>
  <si>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</si>
  <si>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</si>
  <si>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</si>
  <si>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</si>
  <si>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</si>
  <si>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</si>
  <si>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</si>
  <si>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</si>
  <si>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</si>
  <si>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</si>
  <si>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</si>
  <si>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</si>
  <si>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</si>
  <si>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</si>
  <si>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</si>
  <si>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</si>
  <si>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</si>
  <si>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</si>
  <si>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</si>
  <si>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</si>
  <si>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</si>
  <si>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</si>
  <si>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</si>
  <si>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</si>
  <si>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</si>
  <si>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</si>
  <si>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</si>
  <si>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</si>
  <si>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</si>
  <si>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</si>
  <si>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</si>
  <si>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</si>
  <si>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</si>
  <si>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</si>
  <si>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</si>
  <si>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</si>
  <si>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</si>
  <si>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</si>
  <si>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</si>
  <si>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</si>
  <si>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</si>
  <si>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</si>
  <si>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</si>
  <si>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</si>
  <si>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</si>
  <si>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</si>
  <si>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</si>
  <si>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</si>
  <si>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</si>
  <si>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</si>
  <si>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</si>
  <si>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</si>
  <si>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</si>
  <si>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</si>
  <si>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</si>
  <si>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</si>
  <si>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</si>
  <si>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</si>
  <si>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</si>
  <si>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</si>
  <si>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</si>
  <si>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</si>
  <si>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</si>
  <si>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</si>
  <si>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</si>
  <si>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</si>
  <si>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</si>
  <si>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</si>
  <si>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</si>
  <si>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</si>
  <si>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</si>
  <si>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</si>
  <si>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</si>
  <si>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</si>
  <si>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</si>
  <si>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</si>
  <si>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</si>
  <si>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</si>
  <si>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</si>
  <si>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</si>
  <si>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</si>
  <si>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</si>
  <si>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</si>
  <si>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</si>
  <si>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</si>
  <si>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</si>
  <si>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</si>
  <si>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</si>
  <si>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</si>
  <si>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</si>
  <si>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</si>
  <si>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</si>
  <si>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</si>
  <si>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</si>
  <si>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</si>
  <si>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</si>
  <si>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</si>
  <si>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</si>
  <si>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</si>
  <si>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</si>
  <si>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</si>
  <si>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</si>
  <si>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</si>
  <si>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</si>
  <si>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</si>
  <si>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</si>
  <si>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</si>
  <si>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</si>
  <si>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</si>
  <si>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</si>
  <si>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</si>
  <si>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</si>
  <si>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</si>
  <si>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</si>
  <si>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</si>
  <si>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</si>
  <si>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</si>
  <si>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</si>
  <si>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</si>
  <si>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</si>
  <si>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</si>
  <si>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</si>
  <si>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</si>
  <si>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</si>
  <si>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</si>
  <si>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</si>
  <si>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</si>
  <si>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</si>
  <si>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</si>
  <si>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</si>
  <si>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</si>
  <si>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</si>
  <si>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</si>
  <si>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</si>
  <si>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</si>
  <si>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</si>
  <si>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</si>
  <si>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</si>
  <si>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</si>
  <si>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</si>
  <si>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</si>
  <si>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</si>
  <si>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</si>
  <si>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</si>
  <si>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</si>
  <si>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</si>
  <si>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</si>
  <si>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</si>
  <si>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</si>
  <si>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</si>
  <si>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</si>
  <si>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</si>
  <si>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</si>
  <si>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</si>
  <si>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</si>
  <si>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</si>
  <si>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</si>
  <si>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</si>
  <si>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</si>
  <si>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</si>
  <si>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</si>
  <si>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</si>
  <si>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</si>
  <si>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</si>
  <si>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</si>
  <si>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</si>
  <si>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</si>
  <si>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</si>
  <si>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</si>
  <si>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</si>
  <si>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</si>
  <si>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</si>
  <si>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</si>
  <si>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</si>
  <si>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</si>
  <si>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</si>
  <si>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</si>
  <si>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</si>
  <si>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</si>
  <si>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</si>
  <si>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</si>
  <si>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</si>
  <si>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</si>
  <si>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</si>
  <si>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</si>
  <si>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</si>
  <si>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</si>
  <si>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</si>
  <si>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</si>
  <si>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</si>
  <si>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</si>
  <si>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</si>
  <si>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</si>
  <si>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</si>
  <si>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</si>
  <si>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</si>
  <si>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</si>
  <si>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</si>
  <si>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</si>
  <si>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</si>
  <si>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</si>
  <si>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</si>
  <si>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</si>
  <si>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</si>
  <si>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</si>
  <si>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</si>
  <si>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</si>
  <si>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</si>
  <si>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</si>
  <si>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</si>
  <si>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</si>
  <si>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</si>
  <si>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</si>
  <si>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</si>
  <si>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</si>
  <si>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</si>
  <si>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</si>
  <si>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</si>
  <si>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</si>
  <si>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</si>
  <si>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</si>
  <si>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</si>
  <si>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</si>
  <si>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</si>
  <si>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</si>
  <si>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</si>
  <si>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</si>
  <si>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</si>
  <si>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</si>
  <si>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</si>
  <si>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</si>
  <si>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</si>
  <si>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</si>
  <si>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</si>
  <si>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</si>
  <si>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</si>
  <si>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</si>
  <si>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</si>
  <si>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</si>
  <si>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</si>
  <si>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</si>
  <si>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</si>
  <si>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</si>
  <si>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</si>
  <si>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</si>
  <si>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</si>
  <si>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</si>
  <si>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</si>
  <si>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</si>
  <si>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</si>
  <si>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</si>
  <si>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</si>
  <si>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</si>
  <si>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</si>
  <si>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</si>
  <si>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</si>
  <si>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</si>
  <si>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</si>
  <si>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</si>
  <si>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</si>
  <si>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</si>
  <si>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</si>
  <si>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</si>
  <si>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</si>
  <si>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</si>
  <si>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</si>
  <si>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</si>
  <si>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</si>
  <si>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</si>
  <si>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</si>
  <si>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</si>
  <si>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</si>
  <si>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</si>
  <si>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</si>
  <si>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</si>
  <si>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</si>
  <si>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</si>
  <si>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</si>
  <si>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</si>
  <si>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</si>
  <si>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</si>
  <si>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</si>
  <si>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</si>
  <si>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</si>
  <si>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</si>
  <si>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</si>
  <si>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</si>
  <si>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</si>
  <si>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</si>
  <si>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</si>
  <si>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</si>
  <si>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</si>
  <si>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</si>
  <si>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</si>
  <si>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</si>
  <si>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</si>
  <si>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</si>
  <si>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</si>
  <si>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</si>
  <si>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</si>
  <si>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</si>
  <si>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</si>
  <si>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</si>
  <si>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</si>
  <si>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</si>
  <si>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</si>
  <si>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</si>
  <si>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</si>
  <si>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</si>
  <si>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</si>
  <si>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</si>
  <si>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</si>
  <si>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</si>
  <si>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</si>
  <si>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</si>
  <si>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</si>
  <si>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</si>
  <si>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</si>
  <si>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</si>
  <si>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</si>
  <si>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</si>
  <si>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</si>
  <si>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</si>
  <si>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</si>
  <si>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</si>
  <si>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</si>
  <si>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</si>
  <si>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</si>
  <si>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</si>
  <si>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</si>
  <si>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</si>
  <si>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</si>
  <si>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</si>
  <si>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</si>
  <si>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</si>
  <si>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</si>
  <si>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</si>
  <si>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</si>
  <si>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</si>
  <si>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</si>
  <si>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</si>
  <si>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</si>
  <si>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</si>
  <si>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</si>
  <si>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</si>
  <si>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</si>
  <si>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</si>
  <si>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</si>
  <si>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</si>
  <si>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</si>
  <si>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</si>
  <si>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</si>
  <si>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</si>
  <si>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</si>
  <si>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</si>
  <si>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</si>
  <si>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</si>
  <si>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</si>
  <si>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</si>
  <si>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</si>
  <si>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</si>
  <si>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</si>
  <si>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</si>
  <si>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</si>
  <si>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</si>
  <si>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</si>
  <si>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</si>
  <si>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</si>
  <si>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</si>
  <si>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</si>
  <si>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</si>
  <si>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</si>
  <si>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</si>
  <si>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</si>
  <si>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</si>
  <si>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</si>
  <si>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</si>
  <si>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</si>
  <si>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</si>
  <si>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</si>
  <si>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</si>
  <si>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</si>
  <si>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</si>
  <si>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</si>
  <si>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</si>
  <si>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</si>
  <si>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</si>
  <si>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</si>
  <si>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</si>
  <si>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</si>
  <si>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</si>
  <si>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</si>
  <si>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</si>
  <si>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</si>
  <si>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</si>
  <si>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</si>
  <si>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</si>
  <si>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</si>
  <si>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</si>
  <si>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</si>
  <si>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</si>
  <si>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</si>
  <si>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</si>
  <si>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</si>
  <si>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</si>
  <si>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</si>
  <si>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</si>
  <si>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</si>
  <si>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</si>
  <si>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</si>
  <si>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</si>
  <si>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</si>
  <si>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</si>
  <si>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</si>
  <si>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</si>
  <si>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</si>
  <si>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</si>
  <si>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</si>
  <si>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</si>
  <si>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</si>
  <si>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</si>
  <si>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</si>
  <si>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</si>
  <si>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</si>
  <si>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</si>
  <si>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</si>
  <si>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</si>
  <si>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</si>
  <si>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</si>
  <si>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</si>
  <si>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</si>
  <si>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</si>
  <si>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</si>
  <si>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</si>
  <si>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</si>
  <si>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</si>
  <si>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</si>
  <si>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</si>
  <si>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</si>
  <si>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</si>
  <si>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</si>
  <si>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</si>
  <si>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</si>
  <si>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</si>
  <si>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</si>
  <si>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</si>
  <si>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</si>
  <si>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</si>
  <si>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</si>
  <si>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</si>
  <si>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</si>
  <si>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</si>
  <si>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</si>
  <si>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</si>
  <si>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</si>
  <si>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</si>
  <si>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</si>
  <si>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</si>
  <si>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</si>
  <si>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</si>
  <si>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</si>
  <si>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</si>
  <si>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</si>
  <si>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</si>
  <si>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</si>
  <si>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</si>
  <si>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</si>
  <si>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</si>
  <si>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</si>
  <si>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</si>
  <si>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</si>
  <si>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</si>
  <si>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</si>
  <si>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</si>
  <si>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</si>
  <si>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</si>
  <si>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</si>
  <si>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</si>
  <si>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</si>
  <si>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</si>
  <si>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</si>
  <si>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</si>
  <si>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</si>
  <si>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</si>
  <si>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</si>
  <si>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</si>
  <si>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</si>
  <si>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</si>
  <si>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</si>
  <si>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</si>
  <si>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</si>
  <si>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</si>
  <si>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</si>
  <si>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</si>
  <si>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</si>
  <si>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</si>
  <si>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</si>
  <si>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</si>
  <si>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</si>
  <si>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</si>
  <si>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</si>
  <si>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</si>
  <si>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</si>
  <si>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</si>
  <si>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</si>
  <si>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</si>
  <si>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</si>
  <si>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</si>
  <si>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</si>
  <si>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</si>
  <si>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</si>
  <si>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</si>
  <si>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</si>
  <si>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</si>
  <si>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</si>
  <si>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</si>
  <si>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</si>
  <si>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</si>
  <si>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</si>
  <si>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</si>
  <si>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</si>
  <si>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</si>
  <si>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</si>
  <si>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</si>
  <si>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</si>
  <si>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</si>
  <si>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</si>
  <si>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</si>
  <si>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</si>
  <si>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</si>
  <si>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</si>
  <si>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</si>
  <si>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</si>
  <si>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</si>
  <si>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</si>
  <si>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</si>
  <si>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</si>
  <si>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</si>
  <si>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</si>
  <si>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</si>
  <si>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</si>
  <si>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</si>
  <si>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</si>
  <si>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</si>
  <si>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</si>
  <si>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</si>
  <si>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</si>
  <si>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</si>
  <si>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</si>
  <si>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</si>
  <si>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</si>
  <si>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</si>
  <si>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</si>
  <si>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</si>
  <si>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</si>
  <si>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</si>
  <si>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</si>
  <si>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</si>
  <si>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</si>
  <si>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</si>
  <si>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</si>
  <si>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</si>
  <si>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</si>
  <si>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</si>
  <si>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</si>
  <si>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</si>
  <si>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</si>
  <si>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</si>
  <si>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</si>
  <si>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</si>
  <si>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</si>
  <si>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</si>
  <si>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</si>
  <si>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</si>
  <si>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</si>
  <si>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</si>
  <si>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</si>
  <si>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</si>
  <si>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</si>
  <si>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</si>
  <si>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</si>
  <si>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</si>
  <si>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</si>
  <si>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</si>
  <si>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</si>
  <si>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</si>
  <si>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</si>
  <si>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</si>
  <si>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</si>
  <si>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</si>
  <si>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</si>
  <si>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</si>
  <si>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</si>
  <si>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</si>
  <si>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</si>
  <si>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</si>
  <si>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</si>
  <si>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</si>
  <si>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</si>
  <si>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</si>
  <si>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</si>
  <si>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</si>
  <si>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</si>
  <si>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</si>
  <si>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</si>
  <si>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</si>
  <si>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</si>
  <si>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</si>
  <si>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</si>
  <si>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</si>
  <si>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</si>
  <si>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</si>
  <si>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</si>
  <si>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</si>
  <si>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</si>
  <si>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</si>
  <si>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</si>
  <si>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</si>
  <si>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</si>
  <si>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</si>
  <si>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</si>
  <si>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</si>
  <si>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</si>
  <si>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</si>
  <si>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</si>
  <si>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</si>
  <si>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</si>
  <si>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</si>
  <si>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</si>
  <si>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</si>
  <si>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</si>
  <si>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</si>
  <si>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</si>
  <si>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</si>
  <si>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</si>
  <si>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</si>
  <si>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</si>
  <si>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</si>
  <si>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</si>
  <si>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</si>
  <si>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</si>
  <si>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</si>
  <si>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</si>
  <si>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</si>
  <si>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</si>
  <si>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</si>
  <si>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</si>
  <si>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</si>
  <si>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</si>
  <si>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</si>
  <si>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</si>
  <si>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</si>
  <si>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</si>
  <si>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</si>
  <si>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</si>
  <si>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</si>
  <si>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</si>
  <si>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</si>
  <si>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</si>
  <si>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</si>
  <si>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</si>
  <si>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</si>
  <si>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</si>
  <si>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</si>
  <si>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</si>
  <si>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</si>
  <si>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</si>
  <si>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</si>
  <si>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</si>
  <si>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</si>
  <si>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</si>
  <si>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</si>
  <si>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</si>
  <si>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</si>
  <si>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</si>
  <si>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</si>
  <si>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</si>
  <si>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</si>
  <si>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</si>
  <si>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</si>
  <si>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</si>
  <si>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</si>
  <si>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</si>
  <si>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</si>
  <si>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</si>
  <si>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</si>
  <si>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</si>
  <si>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</si>
  <si>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</si>
  <si>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</si>
  <si>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</si>
  <si>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</si>
  <si>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</si>
  <si>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</si>
  <si>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</si>
  <si>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</si>
  <si>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</si>
  <si>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</si>
  <si>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</si>
  <si>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</si>
  <si>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</si>
  <si>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</si>
  <si>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</si>
  <si>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</si>
  <si>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</si>
  <si>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</si>
  <si>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</si>
  <si>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</si>
  <si>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</si>
  <si>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</si>
  <si>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</si>
  <si>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</si>
  <si>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</si>
  <si>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</si>
  <si>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</si>
  <si>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</si>
  <si>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</si>
  <si>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</si>
  <si>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</si>
  <si>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</si>
  <si>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</si>
  <si>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</si>
  <si>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</si>
  <si>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</si>
  <si>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</si>
  <si>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</si>
  <si>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</si>
  <si>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</si>
  <si>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</si>
  <si>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</si>
  <si>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</si>
  <si>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</si>
  <si>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</si>
  <si>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</si>
  <si>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</si>
  <si>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</si>
  <si>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</si>
  <si>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</si>
  <si>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</si>
  <si>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</si>
  <si>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</si>
  <si>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</si>
  <si>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</si>
  <si>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</si>
  <si>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</si>
  <si>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</si>
  <si>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</si>
  <si>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</si>
  <si>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</si>
  <si>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</si>
  <si>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</si>
  <si>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</si>
  <si>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</si>
  <si>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</si>
  <si>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</si>
  <si>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</si>
  <si>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</si>
  <si>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</si>
  <si>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</si>
  <si>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</si>
  <si>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</si>
  <si>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</si>
  <si>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</si>
  <si>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</si>
  <si>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</si>
  <si>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</si>
  <si>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</si>
  <si>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</si>
  <si>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</si>
  <si>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</si>
  <si>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</si>
  <si>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</si>
  <si>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</si>
  <si>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</si>
  <si>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</si>
  <si>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</si>
  <si>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</si>
  <si>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</si>
  <si>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</si>
  <si>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</si>
  <si>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</si>
  <si>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</si>
  <si>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</si>
  <si>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</si>
  <si>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</si>
  <si>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</si>
  <si>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</si>
  <si>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</si>
  <si>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</si>
  <si>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</si>
  <si>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</si>
  <si>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</si>
  <si>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</si>
  <si>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</si>
  <si>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</si>
  <si>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</si>
  <si>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</si>
  <si>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</si>
  <si>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</si>
  <si>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</si>
  <si>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</si>
  <si>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</si>
  <si>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</si>
  <si>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</si>
  <si>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</si>
  <si>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</si>
  <si>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</si>
  <si>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</si>
  <si>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</si>
  <si>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</si>
  <si>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</si>
  <si>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</si>
  <si>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</si>
  <si>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</si>
  <si>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</si>
  <si>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</si>
  <si>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</si>
  <si>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</si>
  <si>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</si>
  <si>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</si>
  <si>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</si>
  <si>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</si>
  <si>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</si>
  <si>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</si>
  <si>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</si>
  <si>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</si>
  <si>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</si>
  <si>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</si>
  <si>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</si>
  <si>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</si>
  <si>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</si>
  <si>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</si>
  <si>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</si>
  <si>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</si>
  <si>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</si>
  <si>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</si>
  <si>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</si>
  <si>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</si>
  <si>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</si>
  <si>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</si>
  <si>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</si>
  <si>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</si>
  <si>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</si>
  <si>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</si>
  <si>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</si>
  <si>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</si>
  <si>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</si>
  <si>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</si>
  <si>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</si>
  <si>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</si>
  <si>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</si>
  <si>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</si>
  <si>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</si>
  <si>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</si>
  <si>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</si>
  <si>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</si>
  <si>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</si>
  <si>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</si>
  <si>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</si>
  <si>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</si>
  <si>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</si>
  <si>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</si>
  <si>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</si>
  <si>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</si>
  <si>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</si>
  <si>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</si>
  <si>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</si>
  <si>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</si>
  <si>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</si>
  <si>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</si>
  <si>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</si>
  <si>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</si>
  <si>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</si>
  <si>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</si>
  <si>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</si>
  <si>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</si>
  <si>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</si>
  <si>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</si>
  <si>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</si>
  <si>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</si>
  <si>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</si>
  <si>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</si>
  <si>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</si>
  <si>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</si>
  <si>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</si>
  <si>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</si>
  <si>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</si>
  <si>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</si>
  <si>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</si>
  <si>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</si>
  <si>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</si>
  <si>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</si>
  <si>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</si>
  <si>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</si>
  <si>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</si>
  <si>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</si>
  <si>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</si>
  <si>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</si>
  <si>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</si>
  <si>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</si>
  <si>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</si>
  <si>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</si>
  <si>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</si>
  <si>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</si>
  <si>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</si>
  <si>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</si>
  <si>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</si>
  <si>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</si>
  <si>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</si>
  <si>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</si>
  <si>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</si>
  <si>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</si>
  <si>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</si>
  <si>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</si>
  <si>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</si>
  <si>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</si>
  <si>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</si>
  <si>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</si>
  <si>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</si>
  <si>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</si>
  <si>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</si>
  <si>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</si>
  <si>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</si>
  <si>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</si>
  <si>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</si>
  <si>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</si>
  <si>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</si>
  <si>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</si>
  <si>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</si>
  <si>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</si>
  <si>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</si>
  <si>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</si>
  <si>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</si>
  <si>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</si>
  <si>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</si>
  <si>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</si>
  <si>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</si>
  <si>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</si>
  <si>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</si>
  <si>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</si>
  <si>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</si>
  <si>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</si>
  <si>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</si>
  <si>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</si>
  <si>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</si>
  <si>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</si>
  <si>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</si>
  <si>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</si>
  <si>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</si>
  <si>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</si>
  <si>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</si>
  <si>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</si>
  <si>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</si>
  <si>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</si>
  <si>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</si>
  <si>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</si>
  <si>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</si>
  <si>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</si>
  <si>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</si>
  <si>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</si>
  <si>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</si>
  <si>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</si>
  <si>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</si>
  <si>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</si>
  <si>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</si>
  <si>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</si>
  <si>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</si>
  <si>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</si>
  <si>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</si>
  <si>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</si>
  <si>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</si>
  <si>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</si>
  <si>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</si>
  <si>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</si>
  <si>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</si>
  <si>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</si>
  <si>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</si>
  <si>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</si>
  <si>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</si>
  <si>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</si>
  <si>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</si>
  <si>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</si>
  <si>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</si>
  <si>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</si>
  <si>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</si>
  <si>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</si>
  <si>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</si>
  <si>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</si>
  <si>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</si>
  <si>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</si>
  <si>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</si>
  <si>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</si>
  <si>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</si>
  <si>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</si>
  <si>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</si>
  <si>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</si>
  <si>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</si>
  <si>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</si>
  <si>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</si>
  <si>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</si>
  <si>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</si>
  <si>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</si>
  <si>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</si>
  <si>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</si>
  <si>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</si>
  <si>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</si>
  <si>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</si>
  <si>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</si>
  <si>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</si>
  <si>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</si>
  <si>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</si>
  <si>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</si>
  <si>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</si>
  <si>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</si>
  <si>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</si>
  <si>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</si>
  <si>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</si>
  <si>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</si>
  <si>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</si>
  <si>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</si>
  <si>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</si>
  <si>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</si>
  <si>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</si>
  <si>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</si>
  <si>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</si>
  <si>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</si>
  <si>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</si>
  <si>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</si>
  <si>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</si>
  <si>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</si>
  <si>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</si>
  <si>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</si>
  <si>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</si>
  <si>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</si>
  <si>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</si>
  <si>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</si>
  <si>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</si>
  <si>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</si>
  <si>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</si>
  <si>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</si>
  <si>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</si>
  <si>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</si>
  <si>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</si>
  <si>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</si>
  <si>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</si>
  <si>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</si>
  <si>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</si>
  <si>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</si>
  <si>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</si>
  <si>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</si>
  <si>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</si>
  <si>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</si>
  <si>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</si>
  <si>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</si>
  <si>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</si>
  <si>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</si>
  <si>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</si>
  <si>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</si>
  <si>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</si>
  <si>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</si>
  <si>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</si>
  <si>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</si>
  <si>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</si>
  <si>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</si>
  <si>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</si>
  <si>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</si>
  <si>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</si>
  <si>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</si>
  <si>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</si>
  <si>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</si>
  <si>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</si>
  <si>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</si>
  <si>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</si>
  <si>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</si>
  <si>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</si>
  <si>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</si>
  <si>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</si>
  <si>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</si>
  <si>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</si>
  <si>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</si>
  <si>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</si>
  <si>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</si>
  <si>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</si>
  <si>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</si>
  <si>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</si>
  <si>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</si>
  <si>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</si>
  <si>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</si>
  <si>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</si>
  <si>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</si>
  <si>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</si>
  <si>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</si>
  <si>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</si>
  <si>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</si>
  <si>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</si>
  <si>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</si>
  <si>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</si>
  <si>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</si>
  <si>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</si>
  <si>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</si>
  <si>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</si>
  <si>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</si>
  <si>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</si>
  <si>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</si>
  <si>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</si>
  <si>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</si>
  <si>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</si>
  <si>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</si>
  <si>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</si>
  <si>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</si>
  <si>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</si>
  <si>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</si>
  <si>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</si>
  <si>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</si>
  <si>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</si>
  <si>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</si>
  <si>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</si>
  <si>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</si>
  <si>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</si>
  <si>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</si>
  <si>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</si>
  <si>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</si>
  <si>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</si>
  <si>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</si>
  <si>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</si>
  <si>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</si>
  <si>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</si>
  <si>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</si>
  <si>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</si>
  <si>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</si>
  <si>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</si>
  <si>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</si>
  <si>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</si>
  <si>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</si>
  <si>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</si>
  <si>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</si>
  <si>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</si>
  <si>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</si>
  <si>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</si>
  <si>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</si>
  <si>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</si>
  <si>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</si>
  <si>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</si>
  <si>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</si>
  <si>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</si>
  <si>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</si>
  <si>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</si>
  <si>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</si>
  <si>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</si>
  <si>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</si>
  <si>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</si>
  <si>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</si>
  <si>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</si>
  <si>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</si>
  <si>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</si>
  <si>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</si>
  <si>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</si>
  <si>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</si>
  <si>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</si>
  <si>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</si>
  <si>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</si>
  <si>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</si>
  <si>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</si>
  <si>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</si>
  <si>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</si>
  <si>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</si>
  <si>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</si>
  <si>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</si>
  <si>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</si>
  <si>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</si>
  <si>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</si>
  <si>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</si>
  <si>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</si>
  <si>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</si>
  <si>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</si>
  <si>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</si>
  <si>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</si>
  <si>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</si>
  <si>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</si>
  <si>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</si>
  <si>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</si>
  <si>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</si>
  <si>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</si>
  <si>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</si>
  <si>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</si>
  <si>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</si>
  <si>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</si>
  <si>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</si>
  <si>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</si>
  <si>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</si>
  <si>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</si>
  <si>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</si>
  <si>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</si>
  <si>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</si>
  <si>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</si>
  <si>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</si>
  <si>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</si>
  <si>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</si>
  <si>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</si>
  <si>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</si>
  <si>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</si>
  <si>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</si>
  <si>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</si>
  <si>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</si>
  <si>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</si>
  <si>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</si>
  <si>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</si>
  <si>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</si>
  <si>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</si>
  <si>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</si>
  <si>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</si>
  <si>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</si>
  <si>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</si>
  <si>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</si>
  <si>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</si>
  <si>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</si>
  <si>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</si>
  <si>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</si>
  <si>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</si>
  <si>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</si>
  <si>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</si>
  <si>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</si>
  <si>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</si>
  <si>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</si>
  <si>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</si>
  <si>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</si>
  <si>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</si>
  <si>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</si>
  <si>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</si>
  <si>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</si>
  <si>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</si>
  <si>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</si>
  <si>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</si>
  <si>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</si>
  <si>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</si>
  <si>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</si>
  <si>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</si>
  <si>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</si>
  <si>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</si>
  <si>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</si>
  <si>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</si>
  <si>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</si>
  <si>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</si>
  <si>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</si>
  <si>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</si>
  <si>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</si>
  <si>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</si>
  <si>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</si>
  <si>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</si>
  <si>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</si>
  <si>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</si>
  <si>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</si>
  <si>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</si>
  <si>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</si>
  <si>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</si>
  <si>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</si>
  <si>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</si>
  <si>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</si>
  <si>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</si>
  <si>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</si>
  <si>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</si>
  <si>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</si>
  <si>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</si>
  <si>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</si>
  <si>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</si>
  <si>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</si>
  <si>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</si>
  <si>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</si>
  <si>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</si>
  <si>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</si>
  <si>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</si>
  <si>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</si>
  <si>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</si>
  <si>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</si>
  <si>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</si>
  <si>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</si>
  <si>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</si>
  <si>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</si>
  <si>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</si>
  <si>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</si>
  <si>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</si>
  <si>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</si>
  <si>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</si>
  <si>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</si>
  <si>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</si>
  <si>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</si>
  <si>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</si>
  <si>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</si>
  <si>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</si>
  <si>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</si>
  <si>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</si>
  <si>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</si>
  <si>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</si>
  <si>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</si>
  <si>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</si>
  <si>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</si>
  <si>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</si>
  <si>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</si>
  <si>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</si>
  <si>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</si>
  <si>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</si>
  <si>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</si>
  <si>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</si>
  <si>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</si>
  <si>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</si>
  <si>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</si>
  <si>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</si>
  <si>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</si>
  <si>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</si>
  <si>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</si>
  <si>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</si>
  <si>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</si>
  <si>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</si>
  <si>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</si>
  <si>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</si>
  <si>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</si>
  <si>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</si>
  <si>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</si>
  <si>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</si>
  <si>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</si>
  <si>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</si>
  <si>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</si>
  <si>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</si>
  <si>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</si>
  <si>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</si>
  <si>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</si>
  <si>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</si>
  <si>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</si>
  <si>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</si>
  <si>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</si>
  <si>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</si>
  <si>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</si>
  <si>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</si>
  <si>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</si>
  <si>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</si>
  <si>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</si>
  <si>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</si>
  <si>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</si>
  <si>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</si>
  <si>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</si>
  <si>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</si>
  <si>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</si>
  <si>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</si>
  <si>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</si>
  <si>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</si>
  <si>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</si>
  <si>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</si>
  <si>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</si>
  <si>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</si>
  <si>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</si>
  <si>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</si>
  <si>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</si>
  <si>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</si>
  <si>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</si>
  <si>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</si>
  <si>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</si>
  <si>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</si>
  <si>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</si>
  <si>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</si>
  <si>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</si>
  <si>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</si>
  <si>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</si>
  <si>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</si>
  <si>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</si>
  <si>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</si>
  <si>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</si>
  <si>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</si>
  <si>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</si>
  <si>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</si>
  <si>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</si>
  <si>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</si>
  <si>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</si>
  <si>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</si>
  <si>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</si>
  <si>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</si>
  <si>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</si>
  <si>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</si>
  <si>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</si>
  <si>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</si>
  <si>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</si>
  <si>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</si>
  <si>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</si>
  <si>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</si>
  <si>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</si>
  <si>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</si>
  <si>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</si>
  <si>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</si>
  <si>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</si>
  <si>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</si>
  <si>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</si>
  <si>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</si>
  <si>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</si>
  <si>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</si>
  <si>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</si>
  <si>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</si>
  <si>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</si>
  <si>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</si>
  <si>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</si>
  <si>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</si>
  <si>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</si>
  <si>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</si>
  <si>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</si>
  <si>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</si>
  <si>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</si>
  <si>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</si>
  <si>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</si>
  <si>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</si>
  <si>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</si>
  <si>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</si>
  <si>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</si>
  <si>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</si>
  <si>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</si>
  <si>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</si>
  <si>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</si>
  <si>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</si>
  <si>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</si>
  <si>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</si>
  <si>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</si>
  <si>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</si>
  <si>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</si>
  <si>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</si>
  <si>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</si>
  <si>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</si>
  <si>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</si>
  <si>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</si>
  <si>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</si>
  <si>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</si>
  <si>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</si>
  <si>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</si>
  <si>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</si>
  <si>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</si>
  <si>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</si>
  <si>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</si>
  <si>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</si>
  <si>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</si>
  <si>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</si>
  <si>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</si>
  <si>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</si>
  <si>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</si>
  <si>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</si>
  <si>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</si>
  <si>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</si>
  <si>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</si>
  <si>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</si>
  <si>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</si>
  <si>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</si>
  <si>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</si>
  <si>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</si>
  <si>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</si>
  <si>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</si>
  <si>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</si>
  <si>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</si>
  <si>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</si>
  <si>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</si>
  <si>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</si>
  <si>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</si>
  <si>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</si>
  <si>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</si>
  <si>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</si>
  <si>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</si>
  <si>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</si>
  <si>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</si>
  <si>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</si>
  <si>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</si>
  <si>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</si>
  <si>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</si>
  <si>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</si>
  <si>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</si>
  <si>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</si>
  <si>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</si>
  <si>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</si>
  <si>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</si>
  <si>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</si>
  <si>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</si>
  <si>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</si>
  <si>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</si>
  <si>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</si>
  <si>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</si>
  <si>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</si>
  <si>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</si>
  <si>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</si>
  <si>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</si>
  <si>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</si>
  <si>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</si>
  <si>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</si>
  <si>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</si>
  <si>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</si>
  <si>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</si>
  <si>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</si>
  <si>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</si>
  <si>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</si>
  <si>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</si>
  <si>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</si>
  <si>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</si>
  <si>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</si>
  <si>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</si>
  <si>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</si>
  <si>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</si>
  <si>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</si>
  <si>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</si>
  <si>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</si>
  <si>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</si>
  <si>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</si>
  <si>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</si>
  <si>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</si>
  <si>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</si>
  <si>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</si>
  <si>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</si>
  <si>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</si>
  <si>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</si>
  <si>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</si>
  <si>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</si>
  <si>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</si>
  <si>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</si>
  <si>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</si>
  <si>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</si>
  <si>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</si>
  <si>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</si>
  <si>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</si>
  <si>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</si>
  <si>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</si>
  <si>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</si>
  <si>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</si>
  <si>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</si>
  <si>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</si>
  <si>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</si>
  <si>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</si>
  <si>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</si>
  <si>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</si>
  <si>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</si>
  <si>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</si>
  <si>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</si>
  <si>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</si>
  <si>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</si>
  <si>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</si>
  <si>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</si>
  <si>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</si>
  <si>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</si>
  <si>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</si>
  <si>
    <t>2021 Area Median Income:</t>
  </si>
  <si>
    <t>Meadowview Townhomes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</si>
</sst>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51" t="s">
        <v>3229</v>
      </c>
      <c r="C2" s="351"/>
      <c r="D2" s="351"/>
      <c r="E2" s="351"/>
      <c r="F2" s="351"/>
      <c r="G2" s="351"/>
      <c r="H2" s="351"/>
      <c r="I2" s="351"/>
      <c r="J2" s="351"/>
      <c r="K2" s="351"/>
      <c r="L2" s="351"/>
      <c r="M2" s="352"/>
      <c r="N2" s="118" t="s">
        <v>1587</v>
      </c>
      <c r="AU2" s="182"/>
      <c r="AV2" s="182"/>
      <c r="AW2" s="6"/>
      <c r="AX2" s="6"/>
      <c r="AY2" s="6"/>
      <c r="AZ2" s="6"/>
      <c r="BA2" s="6"/>
      <c r="BB2" s="6"/>
      <c r="BC2" s="6"/>
      <c r="BD2" s="6"/>
    </row>
    <row r="3" spans="1:63" ht="27" customHeight="1">
      <c r="A3" s="148" t="s">
        <v>1363</v>
      </c>
      <c r="B3" s="348" t="s">
        <v>3234</v>
      </c>
      <c r="C3" s="348"/>
      <c r="D3" s="348"/>
      <c r="E3" s="348"/>
      <c r="F3" s="348"/>
      <c r="G3" s="348"/>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58" t="s">
        <v>1358</v>
      </c>
      <c r="B5" s="359"/>
      <c r="C5" s="359"/>
      <c r="D5" s="359"/>
      <c r="E5" s="359"/>
      <c r="F5" s="359"/>
      <c r="G5" s="359"/>
      <c r="H5" s="359"/>
      <c r="I5" s="359"/>
      <c r="J5" s="359"/>
      <c r="K5" s="359"/>
      <c r="L5" s="359"/>
      <c r="M5" s="151"/>
      <c r="N5" s="146" t="s">
        <v>1584</v>
      </c>
      <c r="AW5" s="6"/>
      <c r="AX5" s="6"/>
      <c r="AY5" s="6"/>
      <c r="AZ5" s="6"/>
      <c r="BA5" s="6"/>
      <c r="BB5" s="6"/>
      <c r="BC5" s="6"/>
      <c r="BD5" s="6"/>
    </row>
    <row r="6" spans="1:63" ht="26.25" customHeight="1">
      <c r="A6" s="353" t="s">
        <v>2110</v>
      </c>
      <c r="B6" s="354"/>
      <c r="C6" s="354"/>
      <c r="D6" s="354"/>
      <c r="E6" s="354"/>
      <c r="F6" s="354"/>
      <c r="G6" s="354"/>
      <c r="H6" s="354"/>
      <c r="I6" s="354"/>
      <c r="J6" s="354"/>
      <c r="K6" s="354"/>
      <c r="L6" s="354"/>
      <c r="M6" s="151"/>
      <c r="N6" s="147" t="s">
        <v>1582</v>
      </c>
      <c r="AW6" s="6"/>
      <c r="AX6" s="6"/>
      <c r="AY6" s="6"/>
      <c r="AZ6" s="6"/>
      <c r="BA6" s="6"/>
      <c r="BB6" s="6"/>
      <c r="BC6" s="6"/>
      <c r="BD6" s="6"/>
    </row>
    <row r="7" spans="1:63" ht="21" customHeight="1">
      <c r="A7" s="353" t="s">
        <v>2111</v>
      </c>
      <c r="B7" s="354"/>
      <c r="C7" s="354"/>
      <c r="D7" s="354"/>
      <c r="E7" s="354"/>
      <c r="F7" s="354"/>
      <c r="G7" s="354"/>
      <c r="H7" s="354"/>
      <c r="I7" s="354"/>
      <c r="J7" s="354"/>
      <c r="K7" s="354"/>
      <c r="L7" s="354"/>
      <c r="M7" s="151"/>
      <c r="N7" s="120"/>
      <c r="AW7" s="6"/>
      <c r="AX7" s="6"/>
      <c r="AY7" s="6"/>
      <c r="AZ7" s="6"/>
      <c r="BA7" s="6"/>
      <c r="BB7" s="6"/>
      <c r="BC7" s="6"/>
      <c r="BD7" s="6"/>
    </row>
    <row r="8" spans="1:63" ht="29.25" customHeight="1">
      <c r="A8" s="353" t="s">
        <v>2378</v>
      </c>
      <c r="B8" s="354"/>
      <c r="C8" s="354"/>
      <c r="D8" s="354"/>
      <c r="E8" s="354"/>
      <c r="F8" s="354"/>
      <c r="G8" s="354"/>
      <c r="H8" s="354"/>
      <c r="I8" s="354"/>
      <c r="J8" s="354"/>
      <c r="K8" s="354"/>
      <c r="L8" s="354"/>
      <c r="M8" s="151"/>
      <c r="AW8" s="6" t="s">
        <v>2178</v>
      </c>
      <c r="AX8" s="6"/>
      <c r="AY8" s="6"/>
      <c r="AZ8" s="6"/>
      <c r="BA8" s="6"/>
      <c r="BB8" s="6"/>
      <c r="BC8" s="6"/>
      <c r="BD8" s="6"/>
    </row>
    <row r="9" spans="1:63" ht="25.5" customHeight="1">
      <c r="A9" s="353" t="s">
        <v>2380</v>
      </c>
      <c r="B9" s="354"/>
      <c r="C9" s="354"/>
      <c r="D9" s="354"/>
      <c r="E9" s="354"/>
      <c r="F9" s="354"/>
      <c r="G9" s="354"/>
      <c r="H9" s="354"/>
      <c r="I9" s="354"/>
      <c r="J9" s="354"/>
      <c r="K9" s="354"/>
      <c r="L9" s="354"/>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3174</v>
      </c>
      <c r="BH9" s="277" t="s">
        <v>2999</v>
      </c>
    </row>
    <row r="10" spans="1:63" ht="25.5" customHeight="1">
      <c r="A10" s="369" t="str">
        <f>IF(OR(B11=0,B1=0,B18=0,B16=0),"PLEASE COMPLETE ALL FIELDS.","")</f>
        <v>PLEASE COMPLETE ALL FIELDS.</v>
      </c>
      <c r="B10" s="370"/>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t="s">
        <v>47</v>
      </c>
      <c r="D11" s="8" t="s">
        <v>1418</v>
      </c>
      <c r="E11" s="7"/>
      <c r="F11" s="7"/>
      <c r="G11" s="19"/>
      <c r="H11" s="161" t="s">
        <v>3233</v>
      </c>
      <c r="I11" s="20"/>
      <c r="J11" s="20"/>
      <c r="K11" s="162">
        <f>S228</f>
        <v>89000</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t="s">
        <v>261</v>
      </c>
      <c r="D13" s="362" t="s">
        <v>1359</v>
      </c>
      <c r="E13" s="365" t="s">
        <v>1360</v>
      </c>
      <c r="F13" s="366"/>
      <c r="G13" s="366"/>
      <c r="H13" s="366"/>
      <c r="I13" s="366"/>
      <c r="J13" s="366"/>
      <c r="K13" s="366"/>
      <c r="L13" s="367"/>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68"/>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12800</v>
      </c>
      <c r="F15" s="251">
        <f t="shared" si="1"/>
        <v>14620</v>
      </c>
      <c r="G15" s="251">
        <f t="shared" si="1"/>
        <v>16440</v>
      </c>
      <c r="H15" s="251">
        <f t="shared" si="1"/>
        <v>18260</v>
      </c>
      <c r="I15" s="251">
        <f t="shared" si="1"/>
        <v>19740</v>
      </c>
      <c r="J15" s="251">
        <f t="shared" si="1"/>
        <v>21200</v>
      </c>
      <c r="K15" s="251">
        <f t="shared" si="1"/>
        <v>22660</v>
      </c>
      <c r="L15" s="267">
        <f t="shared" si="1"/>
        <v>24120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t="s">
        <v>1364</v>
      </c>
      <c r="D16" s="264">
        <f>IF($B$16=$AS$16,"15",30)</f>
        <v>30</v>
      </c>
      <c r="E16" s="251">
        <f t="shared" ref="E16:L17" si="2">+IF(OR($B$11=0,$B$13=0,$B$18=0,$B$16=0),"",IF($B$16=$AS$13,E232,IF($B$16=$AS$14,E256,IF($B$16=$AS$16,E273,E45))))</f>
        <v>19200</v>
      </c>
      <c r="F16" s="251">
        <f t="shared" si="2"/>
        <v>21930</v>
      </c>
      <c r="G16" s="251">
        <f t="shared" si="2"/>
        <v>24660</v>
      </c>
      <c r="H16" s="251">
        <f t="shared" si="2"/>
        <v>27390</v>
      </c>
      <c r="I16" s="251">
        <f t="shared" si="2"/>
        <v>29610</v>
      </c>
      <c r="J16" s="251">
        <f t="shared" si="2"/>
        <v>31800</v>
      </c>
      <c r="K16" s="251">
        <f t="shared" si="2"/>
        <v>33990</v>
      </c>
      <c r="L16" s="267">
        <f t="shared" si="2"/>
        <v>36180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f t="shared" si="2"/>
        <v>25600</v>
      </c>
      <c r="F17" s="251">
        <f t="shared" si="2"/>
        <v>29240</v>
      </c>
      <c r="G17" s="251">
        <f t="shared" si="2"/>
        <v>32880</v>
      </c>
      <c r="H17" s="251">
        <f t="shared" si="2"/>
        <v>36520</v>
      </c>
      <c r="I17" s="251">
        <f t="shared" si="2"/>
        <v>39480</v>
      </c>
      <c r="J17" s="251">
        <f t="shared" si="2"/>
        <v>42400</v>
      </c>
      <c r="K17" s="251">
        <f t="shared" si="2"/>
        <v>45320</v>
      </c>
      <c r="L17" s="267">
        <f t="shared" si="2"/>
        <v>48240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t="s">
        <v>1012</v>
      </c>
      <c r="D18" s="264">
        <f>IF($B$16=$AS$16,"",50)</f>
        <v>50</v>
      </c>
      <c r="E18" s="251">
        <f t="shared" ref="E18:L19" si="3">+IF(OR($B$11=0,$B$13=0,$B$18=0,$B$16=0),"",IF($B$16=$AS$13,E234,IF($B$16=$AS$14,E258,IF($B$16=$AS$16,"",E47))))</f>
        <v>32000</v>
      </c>
      <c r="F18" s="251">
        <f t="shared" si="3"/>
        <v>36550</v>
      </c>
      <c r="G18" s="251">
        <f t="shared" si="3"/>
        <v>41100</v>
      </c>
      <c r="H18" s="251">
        <f t="shared" si="3"/>
        <v>45650</v>
      </c>
      <c r="I18" s="251">
        <f t="shared" si="3"/>
        <v>49350</v>
      </c>
      <c r="J18" s="251">
        <f t="shared" si="3"/>
        <v>53000</v>
      </c>
      <c r="K18" s="251">
        <f t="shared" si="3"/>
        <v>56650</v>
      </c>
      <c r="L18" s="267">
        <f t="shared" si="3"/>
        <v>60300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f t="shared" si="3"/>
        <v>38400</v>
      </c>
      <c r="F19" s="251">
        <f t="shared" si="3"/>
        <v>43860</v>
      </c>
      <c r="G19" s="251">
        <f t="shared" si="3"/>
        <v>49320</v>
      </c>
      <c r="H19" s="251">
        <f t="shared" si="3"/>
        <v>54780</v>
      </c>
      <c r="I19" s="251">
        <f t="shared" si="3"/>
        <v>59220</v>
      </c>
      <c r="J19" s="251">
        <f t="shared" si="3"/>
        <v>63600</v>
      </c>
      <c r="K19" s="251">
        <f t="shared" si="3"/>
        <v>67980</v>
      </c>
      <c r="L19" s="267">
        <f t="shared" si="3"/>
        <v>72360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44800</v>
      </c>
      <c r="F20" s="251">
        <f t="shared" si="4"/>
        <v>51170</v>
      </c>
      <c r="G20" s="251">
        <f t="shared" si="4"/>
        <v>57540</v>
      </c>
      <c r="H20" s="251">
        <f t="shared" si="4"/>
        <v>63910</v>
      </c>
      <c r="I20" s="251">
        <f t="shared" si="4"/>
        <v>69090</v>
      </c>
      <c r="J20" s="251">
        <f t="shared" si="4"/>
        <v>74200</v>
      </c>
      <c r="K20" s="251">
        <f t="shared" si="4"/>
        <v>79310</v>
      </c>
      <c r="L20" s="267">
        <f t="shared" si="4"/>
        <v>84420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f t="shared" ref="E21:L21" si="5">+IF(OR($B$11=0,$B$13=0,$B$18=0,$B$16=0),"",IF($B$16=$AS$13,E236,IF($B$16=$AS$14,E260,IF($B$16=$AS$16,"",E50))))</f>
        <v>51200</v>
      </c>
      <c r="F21" s="251">
        <f t="shared" si="5"/>
        <v>58480</v>
      </c>
      <c r="G21" s="251">
        <f t="shared" si="5"/>
        <v>65760</v>
      </c>
      <c r="H21" s="251">
        <f t="shared" si="5"/>
        <v>73040</v>
      </c>
      <c r="I21" s="251">
        <f t="shared" si="5"/>
        <v>78960</v>
      </c>
      <c r="J21" s="251">
        <f t="shared" si="5"/>
        <v>84800</v>
      </c>
      <c r="K21" s="251">
        <f t="shared" si="5"/>
        <v>90640</v>
      </c>
      <c r="L21" s="267">
        <f t="shared" si="5"/>
        <v>96480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f t="shared" ref="E22:L22" si="6">+IF(OR($B$11=0,$B$13=0,$B$18=0,$B$16=0),"",IF($B$16=$AS$13,0,IF($B$16=$AS$14,E261,IF($B$16=$AS$16,"",E51))))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60" t="str">
        <f>IF(OR($B$16=$AS$15,$B$16=$AS$13),"(5) LURA Date (should be same selection as above):","(5) Carryover / Determination Notice / Subaward Agreement Date:")</f>
        <v>(5) Carryover / Determination Notice / Subaward Agreement Date:</v>
      </c>
      <c r="B23" s="361"/>
      <c r="D23" s="80" t="s">
        <v>1419</v>
      </c>
      <c r="E23" s="7"/>
      <c r="F23" s="364"/>
      <c r="G23" s="364"/>
      <c r="H23" s="364"/>
      <c r="I23" s="364"/>
      <c r="J23" s="364"/>
      <c r="K23" s="364"/>
      <c r="L23" s="364"/>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56" t="s">
        <v>1012</v>
      </c>
      <c r="B24" s="357"/>
      <c r="D24" s="362" t="s">
        <v>1359</v>
      </c>
      <c r="E24" s="366" t="s">
        <v>1355</v>
      </c>
      <c r="F24" s="366"/>
      <c r="G24" s="366"/>
      <c r="H24" s="366"/>
      <c r="I24" s="366"/>
      <c r="J24" s="366"/>
      <c r="K24" s="366"/>
      <c r="L24" s="367"/>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63"/>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f>IF(OR($B$16=0,$B$16=$AS$12,$B$16=$AS$13,$B$16=$AS$14,$B$16=$AS$15,$B$16=$AS$16),"",ROUNDDOWN(0.3*E54/12,0))</f>
        <v>320</v>
      </c>
      <c r="F26" s="270">
        <f>IF(OR($B$16=0,$B$16=$AS$12,$B$16=$AS$13,$B$16=$AS$14,$B$16=$AS$15,$B$16=$AS$16),"",ROUNDDOWN(AVERAGE(E54,F54)/12*0.3,0))</f>
        <v>342</v>
      </c>
      <c r="G26" s="270">
        <f>IF(OR($B$16=0,$B$16=$AS$12,$B$16=$AS$13,$B$16=$AS$14,$B$16=$AS$15,$B$16=$AS$16),"",ROUNDDOWN(0.3*G54/12,0))</f>
        <v>411</v>
      </c>
      <c r="H26" s="270">
        <f>IF(OR($B$16=0,$B$16=$AS$12,$B$16=$AS$13,$B$16=$AS$14,$B$16=$AS$15,$B$16=$AS$16),"",ROUNDDOWN(AVERAGE(I54,H54)/12*0.3,0))</f>
        <v>475</v>
      </c>
      <c r="I26" s="270">
        <f>IF(OR($B$16=0,$B$16=$AS$12,$B$16=$AS$13,$B$16=$AS$14,$B$16=$AS$15,$B$16=$AS$16),"",ROUNDDOWN(0.3*I54/12,0))</f>
        <v>493</v>
      </c>
      <c r="J26" s="271">
        <f>IF(OR($B$16=0,$B$16=$AS$12,$B$16=$AS$13,$B$16=$AS$14,$B$16=$AS$15,$B$16=$AS$16),"",ROUNDDOWN(AVERAGE(K54,L54)/12*0.3,0))</f>
        <v>584</v>
      </c>
      <c r="K26" s="262"/>
      <c r="L26" s="12"/>
      <c r="M26" s="151"/>
      <c r="N26" s="355"/>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49" t="s">
        <v>2122</v>
      </c>
      <c r="B27" s="350"/>
      <c r="D27" s="264">
        <f>IF($B$16=$AS$16,"15",30)</f>
        <v>30</v>
      </c>
      <c r="E27" s="75">
        <f>IF(OR($B$11=0,$B$18=0,$A$24=0,),"",IF(OR($B$16=$AS$14,$B$16=$AS$13),IF($B$29=$AP$10,$E241,IF($B$29=$AP$11,$E248,"")),IF($B$16=$AS$16,E278,ROUNDDOWN(0.3*E55/12,0))))</f>
        <v>480</v>
      </c>
      <c r="F27" s="261">
        <f>IF(OR($B$11=0,$B$18=0,$A$24=0,),"",IF(OR($B$16=$AS$14,$B$16=$AS$13),IF($B$29=$AP$10,$F241,IF($B$29=$AP$11,$F248,"")),IF($B$16=$AS$16,F278,ROUNDDOWN(AVERAGE(E55,F55)/12*0.3,0))))</f>
        <v>514</v>
      </c>
      <c r="G27" s="261">
        <f>IF(OR($B$11=0,$B$18=0,$A$24=0,),"",IF(OR($B$16=$AS$14,$B$16=$AS$13),IF($B$29=$AP$10,$G241,IF($B$29=$AP$11,$G248,"")),IF($B$16=$AS$16,G278,ROUNDDOWN(0.3*G55/12,0))))</f>
        <v>616</v>
      </c>
      <c r="H27" s="261">
        <f>IF(OR($B$11=0,$B$18=0,$A$24=0,),"",IF(OR($B$16=$AS$14,$B$16=$AS$13),IF($B$29=$AP$10,$H241,IF($B$29=$AP$11,$H248,"")),IF($B$16=$AS$16,H278,ROUNDDOWN(AVERAGE(I55,H55)/12*0.3,0))))</f>
        <v>712</v>
      </c>
      <c r="I27" s="261">
        <f>IF(OR($B$11=0,$B$18=0,$A$24=0,),"",IF(OR($B$16=$AS$14,$B$16=$AS$13),IF($B$29=$AP$10,$I241,IF($B$29=$AP$11,$I248,"")),IF($B$16=$AS$16,I278,ROUNDDOWN(0.3*J55/12,0))))</f>
        <v>795</v>
      </c>
      <c r="J27" s="263">
        <f>IF(OR($B$11=0,$B$18=0,$A$24=0,),"",IF(OR($B$16=$AS$14,$B$16=$AS$13),IF($B$29=$AP$10,$J241,IF($B$29=$AP$11,$J248,"")),IF($B$16=$AS$16,J278,ROUNDDOWN(AVERAGE(K55,L55)/12*0.3,0))))</f>
        <v>877</v>
      </c>
      <c r="K27" s="262"/>
      <c r="L27" s="12"/>
      <c r="M27" s="151"/>
      <c r="N27" s="355"/>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49"/>
      <c r="B28" s="350"/>
      <c r="D28" s="264">
        <f>IF($B$16=$AS$16,"30",40)</f>
        <v>40</v>
      </c>
      <c r="E28" s="75">
        <f>IF(OR($B$11=0,$B$18=0,$A$24=0,),"",IF(OR($B$16=$AS$14,$B$16=$AS$13),IF($B$29=$AP$10,$E242,IF($B$29=$AP$11,$E$249,"")),IF($B$16=$AS$16,E279,ROUNDDOWN(0.3*E56/12,0))))</f>
        <v>640</v>
      </c>
      <c r="F28" s="261">
        <f>IF(OR($B$11=0,$B$18=0,$A$24=0,),"",IF(OR($B$16=$AS$14,$B$16=$AS$13),IF($B$29=$AP$10,$F242,IF($B$29=$AP$11,$F$249,"")),IF($B$16=$AS$16,F279,ROUNDDOWN(AVERAGE(E56,F56)/12*0.3,0))))</f>
        <v>685</v>
      </c>
      <c r="G28" s="261">
        <f>IF(OR($B$11=0,$B$18=0,$A$24=0,),"",IF(OR($B$16=$AS$14,$B$16=$AS$13),IF($B$29=$AP$10,$G242,IF($B$29=$AP$11,$G$249,"")),IF($B$16=$AS$16,G279,ROUNDDOWN(0.3*G56/12,0))))</f>
        <v>822</v>
      </c>
      <c r="H28" s="261">
        <f>IF(OR($B$11=0,$B$18=0,$A$24=0,),"",IF(OR($B$16=$AS$14,$B$16=$AS$13),IF($B$29=$AP$10,$H242,IF($B$29=$AP$11,$H$249,"")),IF($B$16=$AS$16,H279,ROUNDDOWN(AVERAGE(I56,H56)/12*0.3,0))))</f>
        <v>950</v>
      </c>
      <c r="I28" s="261">
        <f>IF(OR($B$11=0,$B$18=0,$A$24=0,),"",IF(OR($B$16=$AS$14,$B$16=$AS$13),IF($B$29=$AP$10,$I242,IF($B$29=$AP$11,$I$249,"")),IF($B$16=$AS$16,I279,ROUNDDOWN(0.3*J56/12,0))))</f>
        <v>1060</v>
      </c>
      <c r="J28" s="263">
        <f>IF(OR($B$11=0,$B$18=0,$A$24=0,),"",IF(OR($B$16=$AS$14,$B$16=$AS$13),IF($B$29=$AP$10,$J242,IF($B$29=$AP$11,$J$249,"")),IF($B$16=$AS$16,J279,ROUNDDOWN(AVERAGE(K56,L56)/12*0.3,0))))</f>
        <v>1169</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f>IF(OR($B$11=0,$B$18=0,$A$24=0,),"",IF(OR($B$16=$AS$14,$B$16=$AS$13),IF($B$29=$AP$10,$E243,IF($B$29=$AP$11,$E$250,"")),IF($B$16=$AS$16,"",ROUNDDOWN(0.3*E57/12,0))))</f>
        <v>800</v>
      </c>
      <c r="F29" s="261">
        <f>IF(OR($B$11=0,$B$18=0,$A$24=0,),"",IF(OR($B$16=$AS$14,$B$16=$AS$13),IF($B$29=$AP$10,$F243,IF($B$29=$AP$11,$F$250,"")),IF($B$16=$AS$16,"",ROUNDDOWN(AVERAGE(E57,F57)/12*0.3,0))))</f>
        <v>856</v>
      </c>
      <c r="G29" s="261">
        <f>IF(OR($B$11=0,$B$18=0,$A$24=0,),"",IF(OR($B$16=$AS$14,$B$16=$AS$13),IF($B$29=$AP$10,$G243,IF($B$29=$AP$11,$G$250,"")),IF($B$16=$AS$16,"",ROUNDDOWN(0.3*G57/12,0))))</f>
        <v>1027</v>
      </c>
      <c r="H29" s="261">
        <f>IF(OR($B$11=0,$B$18=0,$A$24=0,),"",IF(OR($B$16=$AS$14,$B$16=$AS$13),IF($B$29=$AP$10,$H243,IF($B$29=$AP$11,$H$250,"")),IF($B$16=$AS$16,"",ROUNDDOWN(AVERAGE(I57,H57)/12*0.3,0))))</f>
        <v>1187</v>
      </c>
      <c r="I29" s="261">
        <f>IF(OR($B$11=0,$B$18=0,$A$24=0,),"",IF(OR($B$16=$AS$14,$B$16=$AS$13),IF($B$29=$AP$10,$I243,IF($B$29=$AP$11,$I$250,"")),IF($B$16=$AS$16,"",ROUNDDOWN(0.3*J57/12,0))))</f>
        <v>1325</v>
      </c>
      <c r="J29" s="263">
        <f>IF(OR($B$11=0,$B$18=0,$A$24=0,),"",IF(OR($B$16=$AS$14,$B$16=$AS$13),IF($B$29=$AP$10,$J243,IF($B$29=$AP$11,$J$250,"")),IF($B$16=$AS$16,"",ROUNDDOWN(AVERAGE(K57,L57)/12*0.3,0))))</f>
        <v>1461</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f>IF(OR($B$11=0,$B$18=0,$A$24=0,),"",IF(OR($B$16=$AS$14,$B$16=$AS$13),IF($B$29=$AP$10,$E244,IF($B$29=$AP$11,$E$251,"")),IF($B$16=$AS$16,"",ROUNDDOWN(0.3*E58/12,0))))</f>
        <v>960</v>
      </c>
      <c r="F30" s="261">
        <f>IF(OR($B$11=0,$B$18=0,$A$24=0,),"",IF(OR($B$16=$AS$14,$B$16=$AS$13),IF($B$29=$AP$10,$F244,IF($B$29=$AP$11,$F$251,"")),IF($B$16=$AS$16,"",ROUNDDOWN(AVERAGE(E58,F58)/12*0.3,0))))</f>
        <v>1028</v>
      </c>
      <c r="G30" s="261">
        <f>IF(OR($B$11=0,$B$18=0,$A$24=0,),"",IF(OR($B$16=$AS$14,$B$16=$AS$13),IF($B$29=$AP$10,$G244,IF($B$29=$AP$11,$G$251,"")),IF($B$16=$AS$16,"",ROUNDDOWN(0.3*G58/12,0))))</f>
        <v>1233</v>
      </c>
      <c r="H30" s="261">
        <f>IF(OR($B$11=0,$B$18=0,$A$24=0,),"",IF(OR($B$16=$AS$14,$B$16=$AS$13),IF($B$29=$AP$10,$H244,IF($B$29=$AP$11,$H$251,"")),IF($B$16=$AS$16,"",ROUNDDOWN(AVERAGE(I58,H58)/12*0.3,0))))</f>
        <v>1425</v>
      </c>
      <c r="I30" s="261">
        <f>IF(OR($B$11=0,$B$18=0,$A$24=0,),"",IF(OR($B$16=$AS$14,$B$16=$AS$13),IF($B$29=$AP$10,$I244,IF($B$29=$AP$11,$I$251,"")),IF($B$16=$AS$16,"",ROUNDDOWN(0.3*J58/12,0))))</f>
        <v>1590</v>
      </c>
      <c r="J30" s="263">
        <f>IF(OR($B$11=0,$B$18=0,$A$24=0,),"",IF(OR($B$16=$AS$14,$B$16=$AS$13),IF($B$29=$AP$10,$J244,IF($B$29=$AP$11,$J$251,"")),IF($B$16=$AS$16,"",ROUNDDOWN(AVERAGE(K58,L58)/12*0.3,0))))</f>
        <v>1754</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850000000000001" customHeight="1">
      <c r="A32" s="156"/>
      <c r="B32" s="14"/>
      <c r="D32" s="264">
        <v>70</v>
      </c>
      <c r="E32" s="75">
        <f>IF(OR($B$16=0,$B$16=$AS$12,$B$16=$AS$13,$B$16=$AS$14,$B$16=$AS$15,$B$16=$AS$16),"",ROUNDDOWN(0.3*E59/12,0))</f>
        <v>1120</v>
      </c>
      <c r="F32" s="261">
        <f>IF(OR($B$16=0,$B$16=$AS$12,$B$16=$AS$13,$B$16=$AS$14,$B$16=$AS$15,$B$16=$AS$16),"",ROUNDDOWN(AVERAGE(E59,F59)/12*0.3,0))</f>
        <v>1199</v>
      </c>
      <c r="G32" s="261">
        <f>IF(OR($B$16=0,$B$16=$AS$12,$B$16=$AS$13,$B$16=$AS$14,$B$16=$AS$15,$B$16=$AS$16),"",ROUNDDOWN(0.3*G59/12,0))</f>
        <v>1438</v>
      </c>
      <c r="H32" s="261">
        <f>IF(OR($B$16=0,$B$16=$AS$12,$B$16=$AS$13,$B$16=$AS$14,$B$16=$AS$15,$B$16=$AS$16),"",ROUNDDOWN(AVERAGE(I59,H59)/12*0.3,0))</f>
        <v>1662</v>
      </c>
      <c r="I32" s="261">
        <f>IF(OR($B$16=0,$B$16=$AS$12,$B$16=$AS$13,$B$16=$AS$14,$B$16=$AS$15,$B$16=$AS$16),"",ROUNDDOWN(0.3*J59/12,0))</f>
        <v>1855</v>
      </c>
      <c r="J32" s="263">
        <f>IF(OR($B$16=0,$B$16=$AS$12,$B$16=$AS$13,$B$16=$AS$14,$B$16=$AS$15,$B$16=$AS$16),"",ROUNDDOWN(AVERAGE(K59,L59)/12*0.3,0))</f>
        <v>2046</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f>IF(OR($B$11=0,$B$18=0,$A$24=0,$B$16=$AS$16),"",IF(OR($B$16=$AS$14,$B$16=$AS$13),$E245,ROUNDDOWN(0.3*E60/12,0)))</f>
        <v>1280</v>
      </c>
      <c r="F33" s="77">
        <f>IF(OR($B$11=0,$B$18=0,$A$24=0,$B$16=$AS$16),"",IF(OR($B$16=$A$13,$B$16=$AS$13),$F245,ROUNDDOWN(AVERAGE(E60,F60)/12*0.3,0)))</f>
        <v>1371</v>
      </c>
      <c r="G33" s="77">
        <f>IF(OR($B$11=0,$B$18=0,$A$24=0,$B$16=$AS$16),"",IF(OR($B$16=$A$13,$B$16=$AS$13),$G245,ROUNDDOWN(0.3*G60/12,0)))</f>
        <v>1644</v>
      </c>
      <c r="H33" s="77">
        <f>IF(OR($B$11=0,$B$18=0,$A$24=0,$B$16=$AS$16),"",IF(OR($B$16=$A$13,$B$16=$AS$13),H245,ROUNDDOWN(AVERAGE(I60,H60)/12*0.3,0)))</f>
        <v>1900</v>
      </c>
      <c r="I33" s="77">
        <f>IF(OR($B$11=0,$B$18=0,$A$24=0,$B$16=$AS$16),"",IF(OR($B$16=$A$13,$B$16=$AS$13),I245,ROUNDDOWN(0.3*J60/12,0)))</f>
        <v>2120</v>
      </c>
      <c r="J33" s="78">
        <f>IF(OR($B$11=0,$B$18=0,$A$24=0,$B$16=$AS$16),"",IF(OR($B$16=$A$13,$B$16=$AS$13),J245,ROUNDDOWN(AVERAGE(K60,L60)/12*0.3,0)))</f>
        <v>2339</v>
      </c>
      <c r="K33" s="269"/>
      <c r="L33" s="13"/>
      <c r="M33" s="151"/>
      <c r="AT33" s="9" t="s">
        <v>110</v>
      </c>
      <c r="AU33" t="s">
        <v>3192</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3193</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47" t="s">
        <v>3230</v>
      </c>
      <c r="B35" s="347"/>
      <c r="C35" s="347"/>
      <c r="D35" s="347"/>
      <c r="E35" s="347"/>
      <c r="F35" s="347"/>
      <c r="G35" s="347"/>
      <c r="H35" s="347"/>
      <c r="I35" s="347"/>
      <c r="J35" s="347"/>
      <c r="K35" s="347"/>
      <c r="L35" s="347"/>
      <c r="M35" s="347"/>
      <c r="AT35" s="9" t="s">
        <v>35</v>
      </c>
      <c r="AU35" s="6" t="s">
        <v>3194</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6" t="s">
        <v>1371</v>
      </c>
      <c r="B36" s="346"/>
      <c r="C36" s="346"/>
      <c r="D36" s="346"/>
      <c r="E36" s="346"/>
      <c r="F36" s="346"/>
      <c r="G36" s="346"/>
      <c r="H36" s="346"/>
      <c r="I36" s="346"/>
      <c r="J36" s="346"/>
      <c r="K36" s="346"/>
      <c r="L36" s="346"/>
      <c r="M36" s="346"/>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6"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6"/>
      <c r="C37" s="346"/>
      <c r="D37" s="346"/>
      <c r="E37" s="346"/>
      <c r="F37" s="346"/>
      <c r="G37" s="346"/>
      <c r="H37" s="346"/>
      <c r="I37" s="346"/>
      <c r="J37" s="346"/>
      <c r="K37" s="346"/>
      <c r="L37" s="346"/>
      <c r="M37" s="346"/>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6" t="s">
        <v>3231</v>
      </c>
      <c r="B38" s="346"/>
      <c r="C38" s="346"/>
      <c r="D38" s="346"/>
      <c r="E38" s="346"/>
      <c r="F38" s="346"/>
      <c r="G38" s="346"/>
      <c r="H38" s="346"/>
      <c r="I38" s="346"/>
      <c r="J38" s="346"/>
      <c r="K38" s="346"/>
      <c r="L38" s="346"/>
      <c r="M38" s="346"/>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77" t="s">
        <v>2112</v>
      </c>
      <c r="B39" s="377"/>
      <c r="C39" s="377"/>
      <c r="D39" s="377"/>
      <c r="E39" s="377"/>
      <c r="F39" s="377"/>
      <c r="G39" s="377"/>
      <c r="H39" s="377"/>
      <c r="I39" s="377"/>
      <c r="J39" s="377"/>
      <c r="K39" s="377"/>
      <c r="L39" s="377"/>
      <c r="M39" s="37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84" t="s">
        <v>1356</v>
      </c>
      <c r="E42" s="381" t="s">
        <v>1362</v>
      </c>
      <c r="F42" s="382"/>
      <c r="G42" s="382"/>
      <c r="H42" s="382"/>
      <c r="I42" s="382"/>
      <c r="J42" s="382"/>
      <c r="K42" s="382"/>
      <c r="L42" s="383"/>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85"/>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12800</v>
      </c>
      <c r="F44" s="32">
        <f t="shared" ref="F44:L44" si="8">F47/5*2</f>
        <v>14620</v>
      </c>
      <c r="G44" s="32">
        <f t="shared" si="8"/>
        <v>16440</v>
      </c>
      <c r="H44" s="32">
        <f t="shared" si="8"/>
        <v>18260</v>
      </c>
      <c r="I44" s="32">
        <f t="shared" si="8"/>
        <v>19740</v>
      </c>
      <c r="J44" s="32">
        <f t="shared" si="8"/>
        <v>21200</v>
      </c>
      <c r="K44" s="32">
        <f t="shared" si="8"/>
        <v>22660</v>
      </c>
      <c r="L44" s="33">
        <f t="shared" si="8"/>
        <v>24120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19200</v>
      </c>
      <c r="F45" s="15">
        <f t="array" ref="F45">+MAX(IF($B63:$B89=1,F63:F89))</f>
        <v>21930</v>
      </c>
      <c r="G45" s="15">
        <f t="array" ref="G45">+MAX(IF($B63:$B89=1,G63:G89))</f>
        <v>24660</v>
      </c>
      <c r="H45" s="15">
        <f t="array" ref="H45">+MAX(IF($B63:$B89=1,H63:H89))</f>
        <v>27390</v>
      </c>
      <c r="I45" s="15">
        <f t="array" ref="I45">+MAX(IF($B63:$B89=1,I63:I89))</f>
        <v>29610</v>
      </c>
      <c r="J45" s="15">
        <f t="array" ref="J45">+MAX(IF($B63:$B89=1,J63:J89))</f>
        <v>31800</v>
      </c>
      <c r="K45" s="15">
        <f t="array" ref="K45">+MAX(IF($B63:$B89=1,K63:K89))</f>
        <v>33990</v>
      </c>
      <c r="L45" s="16">
        <f t="array" ref="L45">+MAX(IF($B63:$B89=1,L63:L89))</f>
        <v>36180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25600</v>
      </c>
      <c r="F46" s="15">
        <f t="array" ref="F46">+MAX(IF($B91:$B117=1,F91:F117))</f>
        <v>29240</v>
      </c>
      <c r="G46" s="15">
        <f t="array" ref="G46">+MAX(IF($B91:$B117=1,G91:G117))</f>
        <v>32880</v>
      </c>
      <c r="H46" s="15">
        <f t="array" ref="H46">+MAX(IF($B91:$B117=1,H91:H117))</f>
        <v>36520</v>
      </c>
      <c r="I46" s="15">
        <f t="array" ref="I46">+MAX(IF($B91:$B117=1,I91:I117))</f>
        <v>39480</v>
      </c>
      <c r="J46" s="15">
        <f t="array" ref="J46">+MAX(IF($B91:$B117=1,J91:J117))</f>
        <v>42400</v>
      </c>
      <c r="K46" s="15">
        <f t="array" ref="K46">+MAX(IF($B91:$B117=1,K91:K117))</f>
        <v>45320</v>
      </c>
      <c r="L46" s="16">
        <f t="array" ref="L46">+MAX(IF($B91:$B117=1,L91:L117))</f>
        <v>48240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32000</v>
      </c>
      <c r="F47" s="15">
        <f t="array" ref="F47">+MAX(IF($B119:$B145=1,F119:F145))</f>
        <v>36550</v>
      </c>
      <c r="G47" s="15">
        <f t="array" ref="G47">+MAX(IF($B119:$B145=1,G119:G145))</f>
        <v>41100</v>
      </c>
      <c r="H47" s="15">
        <f t="array" ref="H47">+MAX(IF($B119:$B145=1,H119:H145))</f>
        <v>45650</v>
      </c>
      <c r="I47" s="15">
        <f t="array" ref="I47">+MAX(IF($B119:$B145=1,I119:I145))</f>
        <v>49350</v>
      </c>
      <c r="J47" s="15">
        <f t="array" ref="J47">+MAX(IF($B119:$B145=1,J119:J145))</f>
        <v>53000</v>
      </c>
      <c r="K47" s="15">
        <f t="array" ref="K47">+MAX(IF($B119:$B145=1,K119:K145))</f>
        <v>56650</v>
      </c>
      <c r="L47" s="16">
        <f t="array" ref="L47">+MAX(IF($B119:$B145=1,L119:L145))</f>
        <v>60300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38400</v>
      </c>
      <c r="F48" s="15">
        <f t="array" ref="F48">+MAX(IF($B147:$B173=1,F147:F173))</f>
        <v>43860</v>
      </c>
      <c r="G48" s="15">
        <f t="array" ref="G48">+MAX(IF($B147:$B173=1,G147:G173))</f>
        <v>49320</v>
      </c>
      <c r="H48" s="15">
        <f t="array" ref="H48">+MAX(IF($B147:$B173=1,H147:H173))</f>
        <v>54780</v>
      </c>
      <c r="I48" s="15">
        <f t="array" ref="I48">+MAX(IF($B147:$B173=1,I147:I173))</f>
        <v>59220</v>
      </c>
      <c r="J48" s="15">
        <f t="array" ref="J48">+MAX(IF($B147:$B173=1,J147:J173))</f>
        <v>63600</v>
      </c>
      <c r="K48" s="15">
        <f t="array" ref="K48">+MAX(IF($B147:$B173=1,K147:K173))</f>
        <v>67980</v>
      </c>
      <c r="L48" s="16">
        <f t="array" ref="L48">+MAX(IF($B147:$B173=1,L147:L173))</f>
        <v>72360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44800</v>
      </c>
      <c r="F49" s="15">
        <f t="shared" ref="F49:L49" si="9">F47/5*7</f>
        <v>51170</v>
      </c>
      <c r="G49" s="15">
        <f t="shared" si="9"/>
        <v>57540</v>
      </c>
      <c r="H49" s="15">
        <f t="shared" si="9"/>
        <v>63910</v>
      </c>
      <c r="I49" s="15">
        <f t="shared" si="9"/>
        <v>69090</v>
      </c>
      <c r="J49" s="15">
        <f t="shared" si="9"/>
        <v>74200</v>
      </c>
      <c r="K49" s="15">
        <f t="shared" si="9"/>
        <v>79310</v>
      </c>
      <c r="L49" s="16">
        <f t="shared" si="9"/>
        <v>84420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51200</v>
      </c>
      <c r="F50" s="17">
        <f t="array" ref="F50">+MAX(IF($B175:$B201=1,F175:F201))</f>
        <v>58480</v>
      </c>
      <c r="G50" s="17">
        <f t="array" ref="G50">+MAX(IF($B175:$B201=1,G175:G201))</f>
        <v>65760</v>
      </c>
      <c r="H50" s="17">
        <f t="array" ref="H50">+MAX(IF($B175:$B201=1,H175:H201))</f>
        <v>73040</v>
      </c>
      <c r="I50" s="17">
        <f t="array" ref="I50">+MAX(IF($B175:$B201=1,I175:I201))</f>
        <v>78960</v>
      </c>
      <c r="J50" s="17">
        <f t="array" ref="J50">+MAX(IF($B175:$B201=1,J175:J201))</f>
        <v>84800</v>
      </c>
      <c r="K50" s="17">
        <f t="array" ref="K50">+MAX(IF($B175:$B201=1,K175:K201))</f>
        <v>90640</v>
      </c>
      <c r="L50" s="18">
        <f t="array" ref="L50">+MAX(IF($B175:$B201=1,L175:L201))</f>
        <v>96480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84" t="s">
        <v>1356</v>
      </c>
      <c r="E52" s="381" t="s">
        <v>1417</v>
      </c>
      <c r="F52" s="382"/>
      <c r="G52" s="382"/>
      <c r="H52" s="382"/>
      <c r="I52" s="382"/>
      <c r="J52" s="382"/>
      <c r="K52" s="382"/>
      <c r="L52" s="383"/>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85"/>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12800</v>
      </c>
      <c r="F54" s="32">
        <f t="shared" ref="F54:L54" si="10">F57/5*2</f>
        <v>14620</v>
      </c>
      <c r="G54" s="32">
        <f t="shared" si="10"/>
        <v>16440</v>
      </c>
      <c r="H54" s="32">
        <f t="shared" si="10"/>
        <v>18260</v>
      </c>
      <c r="I54" s="32">
        <f t="shared" si="10"/>
        <v>19740</v>
      </c>
      <c r="J54" s="32">
        <f t="shared" si="10"/>
        <v>21200</v>
      </c>
      <c r="K54" s="32">
        <f t="shared" si="10"/>
        <v>22660</v>
      </c>
      <c r="L54" s="33">
        <f t="shared" si="10"/>
        <v>24120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19200</v>
      </c>
      <c r="F55" s="15">
        <f t="array" ref="F55">+MAX(IF($C63:$C89=1,F63:F89))</f>
        <v>21930</v>
      </c>
      <c r="G55" s="15">
        <f t="array" ref="G55">+MAX(IF($C63:$C89=1,G63:G89))</f>
        <v>24660</v>
      </c>
      <c r="H55" s="15">
        <f t="array" ref="H55">+MAX(IF($C63:$C89=1,H63:H89))</f>
        <v>27390</v>
      </c>
      <c r="I55" s="15">
        <f t="array" ref="I55">+MAX(IF($C63:$C89=1,I63:I89))</f>
        <v>29610</v>
      </c>
      <c r="J55" s="15">
        <f t="array" ref="J55">+MAX(IF($C63:$C89=1,J63:J89))</f>
        <v>31800</v>
      </c>
      <c r="K55" s="15">
        <f t="array" ref="K55">+MAX(IF($C63:$C89=1,K63:K89))</f>
        <v>33990</v>
      </c>
      <c r="L55" s="16">
        <f t="array" ref="L55">+MAX(IF($C63:$C89=1,L63:L89))</f>
        <v>36180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25600</v>
      </c>
      <c r="F56" s="15">
        <f t="array" ref="F56">+MAX(IF($C91:$C117=1,F91:F117))</f>
        <v>29240</v>
      </c>
      <c r="G56" s="15">
        <f t="array" ref="G56">+MAX(IF($C91:$C117=1,G91:G117))</f>
        <v>32880</v>
      </c>
      <c r="H56" s="15">
        <f t="array" ref="H56">+MAX(IF($C91:$C117=1,H91:H117))</f>
        <v>36520</v>
      </c>
      <c r="I56" s="15">
        <f t="array" ref="I56">+MAX(IF($C91:$C117=1,I91:I117))</f>
        <v>39480</v>
      </c>
      <c r="J56" s="15">
        <f t="array" ref="J56">+MAX(IF($C91:$C117=1,J91:J117))</f>
        <v>42400</v>
      </c>
      <c r="K56" s="15">
        <f t="array" ref="K56">+MAX(IF($C91:$C117=1,K91:K117))</f>
        <v>45320</v>
      </c>
      <c r="L56" s="16">
        <f t="array" ref="L56">+MAX(IF($C91:$C117=1,L91:L117))</f>
        <v>48240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32000</v>
      </c>
      <c r="F57" s="15">
        <f t="array" ref="F57">+MAX(IF($C119:$C145=1,F119:F145))</f>
        <v>36550</v>
      </c>
      <c r="G57" s="15">
        <f t="array" ref="G57">+MAX(IF($C119:$C145=1,G119:G145))</f>
        <v>41100</v>
      </c>
      <c r="H57" s="15">
        <f t="array" ref="H57">+MAX(IF($C119:$C145=1,H119:H145))</f>
        <v>45650</v>
      </c>
      <c r="I57" s="15">
        <f t="array" ref="I57">+MAX(IF($C119:$C145=1,I119:I145))</f>
        <v>49350</v>
      </c>
      <c r="J57" s="15">
        <f t="array" ref="J57">+MAX(IF($C119:$C145=1,J119:J145))</f>
        <v>53000</v>
      </c>
      <c r="K57" s="15">
        <f t="array" ref="K57">+MAX(IF($C119:$C145=1,K119:K145))</f>
        <v>56650</v>
      </c>
      <c r="L57" s="16">
        <f t="array" ref="L57">+MAX(IF($C119:$C145=1,L119:L145))</f>
        <v>60300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38400</v>
      </c>
      <c r="F58" s="15">
        <f t="array" ref="F58">+MAX(IF($C147:$C173=1,F147:F173))</f>
        <v>43860</v>
      </c>
      <c r="G58" s="15">
        <f t="array" ref="G58">+MAX(IF($C147:$C173=1,G147:G173))</f>
        <v>49320</v>
      </c>
      <c r="H58" s="15">
        <f t="array" ref="H58">+MAX(IF($C147:$C173=1,H147:H173))</f>
        <v>54780</v>
      </c>
      <c r="I58" s="15">
        <f t="array" ref="I58">+MAX(IF($C147:$C173=1,I147:I173))</f>
        <v>59220</v>
      </c>
      <c r="J58" s="15">
        <f t="array" ref="J58">+MAX(IF($C147:$C173=1,J147:J173))</f>
        <v>63600</v>
      </c>
      <c r="K58" s="15">
        <f t="array" ref="K58">+MAX(IF($C147:$C173=1,K147:K173))</f>
        <v>67980</v>
      </c>
      <c r="L58" s="16">
        <f t="array" ref="L58">+MAX(IF($C147:$C173=1,L147:L173))</f>
        <v>72360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44800</v>
      </c>
      <c r="F59" s="15">
        <f t="shared" ref="F59:L59" si="11">F57/5*7</f>
        <v>51170</v>
      </c>
      <c r="G59" s="15">
        <f t="shared" si="11"/>
        <v>57540</v>
      </c>
      <c r="H59" s="15">
        <f t="shared" si="11"/>
        <v>63910</v>
      </c>
      <c r="I59" s="15">
        <f t="shared" si="11"/>
        <v>69090</v>
      </c>
      <c r="J59" s="15">
        <f t="shared" si="11"/>
        <v>74200</v>
      </c>
      <c r="K59" s="15">
        <f t="shared" si="11"/>
        <v>79310</v>
      </c>
      <c r="L59" s="16">
        <f t="shared" si="11"/>
        <v>84420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51200</v>
      </c>
      <c r="F60" s="17">
        <f t="array" ref="F60">+MAX(IF($C175:$C201=1,F175:F201))</f>
        <v>58480</v>
      </c>
      <c r="G60" s="17">
        <f t="array" ref="G60">+MAX(IF($C175:$C201=1,G175:G201))</f>
        <v>65760</v>
      </c>
      <c r="H60" s="17">
        <f t="array" ref="H60">+MAX(IF($C175:$C201=1,H175:H201))</f>
        <v>73040</v>
      </c>
      <c r="I60" s="17">
        <f t="array" ref="I60">+MAX(IF($C175:$C201=1,I175:I201))</f>
        <v>78960</v>
      </c>
      <c r="J60" s="17">
        <f t="array" ref="J60">+MAX(IF($C175:$C201=1,J175:J201))</f>
        <v>84800</v>
      </c>
      <c r="K60" s="17">
        <f t="array" ref="K60">+MAX(IF($C175:$C201=1,K175:K201))</f>
        <v>90640</v>
      </c>
      <c r="L60" s="18">
        <f t="array" ref="L60">+MAX(IF($C175:$C201=1,L175:L201))</f>
        <v>96480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72" t="s">
        <v>1412</v>
      </c>
      <c r="Q62" s="372"/>
      <c r="R62" s="372"/>
      <c r="S62" s="372"/>
      <c r="T62" s="372"/>
      <c r="U62" s="372"/>
      <c r="V62" s="372"/>
      <c r="W62" s="372"/>
      <c r="Y62" s="374" t="s">
        <v>1413</v>
      </c>
      <c r="Z62" s="374"/>
      <c r="AA62" s="374"/>
      <c r="AB62" s="374"/>
      <c r="AC62" s="374"/>
      <c r="AD62" s="374"/>
      <c r="AE62" s="374"/>
      <c r="AF62" s="374"/>
      <c r="AH62" s="90" t="s">
        <v>1415</v>
      </c>
      <c r="AI62" s="375" t="s">
        <v>1414</v>
      </c>
      <c r="AJ62" s="375"/>
      <c r="AK62" s="375"/>
      <c r="AL62" s="375"/>
      <c r="AM62" s="375"/>
      <c r="AN62" s="375"/>
      <c r="AO62" s="375"/>
      <c r="AP62" s="375"/>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1</v>
      </c>
      <c r="B63" s="89">
        <f>IF($B$18=$AU10,1,0)</f>
        <v>1</v>
      </c>
      <c r="C63" s="89">
        <f t="shared" ref="C63:C74" si="13">+IF((A63+B63)=2,1,A63+B63)</f>
        <v>1</v>
      </c>
      <c r="E63" s="286">
        <f t="shared" ref="E63:L64" si="14">+MAX(P63,Y63,AI63)</f>
        <v>14730</v>
      </c>
      <c r="F63" s="286">
        <f t="shared" si="14"/>
        <v>16830</v>
      </c>
      <c r="G63" s="286">
        <f t="shared" si="14"/>
        <v>18930</v>
      </c>
      <c r="H63" s="286">
        <f t="shared" si="14"/>
        <v>21030</v>
      </c>
      <c r="I63" s="286">
        <f t="shared" si="14"/>
        <v>22710</v>
      </c>
      <c r="J63" s="286">
        <f t="shared" si="14"/>
        <v>24390</v>
      </c>
      <c r="K63" s="286">
        <f t="shared" si="14"/>
        <v>26070</v>
      </c>
      <c r="L63" s="286">
        <f t="shared" si="14"/>
        <v>27750</v>
      </c>
      <c r="N63" s="91" t="str">
        <f>CONCATENATE($AU$10,$B$11,$N$62)</f>
        <v>Before 12-31-2008Kaufman30</v>
      </c>
      <c r="P63" s="189">
        <f>VLOOKUP($N63,'pre 12-31-08'!$A$4:$L$1400,E$62+3,FALSE)</f>
        <v>14730</v>
      </c>
      <c r="Q63" s="189">
        <f>VLOOKUP($N63,'pre 12-31-08'!$A$4:$L$1400,F$62+3,FALSE)</f>
        <v>16830</v>
      </c>
      <c r="R63" s="189">
        <f>VLOOKUP($N63,'pre 12-31-08'!$A$4:$L$1400,G$62+3,FALSE)</f>
        <v>18930</v>
      </c>
      <c r="S63" s="189">
        <f>VLOOKUP($N63,'pre 12-31-08'!$A$4:$L$1400,H$62+3,FALSE)</f>
        <v>21030</v>
      </c>
      <c r="T63" s="189">
        <f>VLOOKUP($N63,'pre 12-31-08'!$A$4:$L$1400,I$62+3,FALSE)</f>
        <v>22710</v>
      </c>
      <c r="U63" s="189">
        <f>VLOOKUP($N63,'pre 12-31-08'!$A$4:$L$1400,J$62+3,FALSE)</f>
        <v>24390</v>
      </c>
      <c r="V63" s="189">
        <f>VLOOKUP($N63,'pre 12-31-08'!$A$4:$L$1400,K$62+3,FALSE)</f>
        <v>26070</v>
      </c>
      <c r="W63" s="189">
        <f>VLOOKUP($N63,'pre 12-31-08'!$A$4:$L$1400,L$62+3,FALSE)</f>
        <v>27750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1</v>
      </c>
      <c r="C64" s="89">
        <f t="shared" si="13"/>
        <v>1</v>
      </c>
      <c r="E64" s="286">
        <f t="shared" si="14"/>
        <v>14370</v>
      </c>
      <c r="F64" s="286">
        <f t="shared" si="14"/>
        <v>16410</v>
      </c>
      <c r="G64" s="286">
        <f t="shared" si="14"/>
        <v>18450</v>
      </c>
      <c r="H64" s="286">
        <f t="shared" si="14"/>
        <v>20490</v>
      </c>
      <c r="I64" s="286">
        <f t="shared" si="14"/>
        <v>22140</v>
      </c>
      <c r="J64" s="286">
        <f t="shared" si="14"/>
        <v>23790</v>
      </c>
      <c r="K64" s="286">
        <f t="shared" si="14"/>
        <v>25410</v>
      </c>
      <c r="L64" s="286">
        <f t="shared" si="14"/>
        <v>27060</v>
      </c>
      <c r="N64" s="91" t="str">
        <f>CONCATENATE($AU$11,$B$11,$N$62)</f>
        <v>1/1/2009 - 5/13/2010Kaufman30</v>
      </c>
      <c r="P64" s="189">
        <f>VLOOKUP($N64,'1-1-09-5-14-10'!$A$4:$L$1400,E$62+3,FALSE)</f>
        <v>14370</v>
      </c>
      <c r="Q64" s="189">
        <f>VLOOKUP($N64,'1-1-09-5-14-10'!$A$4:$L$1400,F$62+3,FALSE)</f>
        <v>16410</v>
      </c>
      <c r="R64" s="189">
        <f>VLOOKUP($N64,'1-1-09-5-14-10'!$A$4:$L$1400,G$62+3,FALSE)</f>
        <v>18450</v>
      </c>
      <c r="S64" s="189">
        <f>VLOOKUP($N64,'1-1-09-5-14-10'!$A$4:$L$1400,H$62+3,FALSE)</f>
        <v>20490</v>
      </c>
      <c r="T64" s="189">
        <f>VLOOKUP($N64,'1-1-09-5-14-10'!$A$4:$L$1400,I$62+3,FALSE)</f>
        <v>22140</v>
      </c>
      <c r="U64" s="189">
        <f>VLOOKUP($N64,'1-1-09-5-14-10'!$A$4:$L$1400,J$62+3,FALSE)</f>
        <v>23790</v>
      </c>
      <c r="V64" s="189">
        <f>VLOOKUP($N64,'1-1-09-5-14-10'!$A$4:$L$1400,K$62+3,FALSE)</f>
        <v>25410</v>
      </c>
      <c r="W64" s="189">
        <f>VLOOKUP($N64,'1-1-09-5-14-10'!$A$4:$L$1400,L$62+3,FALSE)</f>
        <v>27060</v>
      </c>
      <c r="Y64" s="38"/>
      <c r="Z64" s="30"/>
      <c r="AA64" s="30"/>
      <c r="AB64" s="30"/>
      <c r="AC64" s="30"/>
      <c r="AD64" s="30"/>
      <c r="AE64" s="30"/>
      <c r="AF64" s="39"/>
      <c r="AI64" s="189">
        <f t="shared" ref="AI64:AP64" si="16">+AI120/5*3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1</v>
      </c>
      <c r="C65" s="89">
        <f t="shared" si="13"/>
        <v>1</v>
      </c>
      <c r="E65" s="287">
        <f t="shared" ref="E65:L65" si="17">+MAX(E64,E66)</f>
        <v>14370</v>
      </c>
      <c r="F65" s="287">
        <f t="shared" si="17"/>
        <v>16410</v>
      </c>
      <c r="G65" s="287">
        <f t="shared" si="17"/>
        <v>18450</v>
      </c>
      <c r="H65" s="287">
        <f t="shared" si="17"/>
        <v>20490</v>
      </c>
      <c r="I65" s="287">
        <f t="shared" si="17"/>
        <v>22140</v>
      </c>
      <c r="J65" s="287">
        <f t="shared" si="17"/>
        <v>23790</v>
      </c>
      <c r="K65" s="287">
        <f t="shared" si="17"/>
        <v>25410</v>
      </c>
      <c r="L65" s="287">
        <f t="shared" si="17"/>
        <v>27060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1</v>
      </c>
      <c r="C66" s="89">
        <f t="shared" si="13"/>
        <v>1</v>
      </c>
      <c r="E66" s="286">
        <f t="shared" ref="E66:L66" si="18">+MAX(P66,Y66,AI66)</f>
        <v>14370</v>
      </c>
      <c r="F66" s="286">
        <f t="shared" si="18"/>
        <v>16410</v>
      </c>
      <c r="G66" s="286">
        <f t="shared" si="18"/>
        <v>18450</v>
      </c>
      <c r="H66" s="286">
        <f t="shared" si="18"/>
        <v>20490</v>
      </c>
      <c r="I66" s="286">
        <f t="shared" si="18"/>
        <v>22140</v>
      </c>
      <c r="J66" s="286">
        <f t="shared" si="18"/>
        <v>23790</v>
      </c>
      <c r="K66" s="286">
        <f t="shared" si="18"/>
        <v>25410</v>
      </c>
      <c r="L66" s="286">
        <f t="shared" si="18"/>
        <v>27060</v>
      </c>
      <c r="N66" s="91" t="str">
        <f>CONCATENATE($AU$13,$B$11,$N$62)</f>
        <v>6/29/2010 - 5/30/2011Kaufman30</v>
      </c>
      <c r="P66" s="189">
        <f>VLOOKUP($N66,'5-14-10-5-31-11'!$A$4:$L$1400,E$62+3,FALSE)</f>
        <v>14370</v>
      </c>
      <c r="Q66" s="189">
        <f>VLOOKUP($N66,'5-14-10-5-31-11'!$A$4:$L$1400,F$62+3,FALSE)</f>
        <v>16410</v>
      </c>
      <c r="R66" s="189">
        <f>VLOOKUP($N66,'5-14-10-5-31-11'!$A$4:$L$1400,G$62+3,FALSE)</f>
        <v>18450</v>
      </c>
      <c r="S66" s="189">
        <f>VLOOKUP($N66,'5-14-10-5-31-11'!$A$4:$L$1400,H$62+3,FALSE)</f>
        <v>20490</v>
      </c>
      <c r="T66" s="189">
        <f>VLOOKUP($N66,'5-14-10-5-31-11'!$A$4:$L$1400,I$62+3,FALSE)</f>
        <v>22140</v>
      </c>
      <c r="U66" s="189">
        <f>VLOOKUP($N66,'5-14-10-5-31-11'!$A$4:$L$1400,J$62+3,FALSE)</f>
        <v>23790</v>
      </c>
      <c r="V66" s="189">
        <f>VLOOKUP($N66,'5-14-10-5-31-11'!$A$4:$L$1400,K$62+3,FALSE)</f>
        <v>25410</v>
      </c>
      <c r="W66" s="189">
        <f>VLOOKUP($N66,'5-14-10-5-31-11'!$A$4:$L$1400,L$62+3,FALSE)</f>
        <v>27060</v>
      </c>
      <c r="Y66" s="38"/>
      <c r="Z66" s="30"/>
      <c r="AA66" s="30"/>
      <c r="AB66" s="30"/>
      <c r="AC66" s="30"/>
      <c r="AD66" s="30"/>
      <c r="AE66" s="30"/>
      <c r="AF66" s="39"/>
      <c r="AI66" s="189">
        <f t="shared" ref="AI66:AP66" si="19">+AI122/5*3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1</v>
      </c>
      <c r="C67" s="89">
        <f t="shared" si="13"/>
        <v>1</v>
      </c>
      <c r="E67" s="287">
        <f t="shared" ref="E67:L67" si="20">+MAX(E66,E68)</f>
        <v>14910</v>
      </c>
      <c r="F67" s="287">
        <f t="shared" si="20"/>
        <v>17040</v>
      </c>
      <c r="G67" s="287">
        <f t="shared" si="20"/>
        <v>19170</v>
      </c>
      <c r="H67" s="287">
        <f t="shared" si="20"/>
        <v>21270</v>
      </c>
      <c r="I67" s="287">
        <f t="shared" si="20"/>
        <v>22980</v>
      </c>
      <c r="J67" s="287">
        <f t="shared" si="20"/>
        <v>24690</v>
      </c>
      <c r="K67" s="287">
        <f t="shared" si="20"/>
        <v>26400</v>
      </c>
      <c r="L67" s="287">
        <f t="shared" si="20"/>
        <v>28080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1</v>
      </c>
      <c r="C68" s="89">
        <f t="shared" si="13"/>
        <v>1</v>
      </c>
      <c r="E68" s="286">
        <f t="shared" ref="E68:L68" si="21">+MAX(P68,Y68,AI68)</f>
        <v>14910</v>
      </c>
      <c r="F68" s="286">
        <f t="shared" si="21"/>
        <v>17040</v>
      </c>
      <c r="G68" s="286">
        <f t="shared" si="21"/>
        <v>19170</v>
      </c>
      <c r="H68" s="286">
        <f t="shared" si="21"/>
        <v>21270</v>
      </c>
      <c r="I68" s="286">
        <f t="shared" si="21"/>
        <v>22980</v>
      </c>
      <c r="J68" s="286">
        <f t="shared" si="21"/>
        <v>24690</v>
      </c>
      <c r="K68" s="286">
        <f t="shared" si="21"/>
        <v>26400</v>
      </c>
      <c r="L68" s="286">
        <f t="shared" si="21"/>
        <v>28080</v>
      </c>
      <c r="N68" s="163" t="s">
        <v>2103</v>
      </c>
      <c r="P68" s="189">
        <f t="shared" ref="P68:W68" si="22">+P124/5*3</f>
        <v>14520</v>
      </c>
      <c r="Q68" s="189">
        <f t="shared" si="22"/>
        <v>16590</v>
      </c>
      <c r="R68" s="189">
        <f t="shared" si="22"/>
        <v>18660</v>
      </c>
      <c r="S68" s="189">
        <f t="shared" si="22"/>
        <v>20730</v>
      </c>
      <c r="T68" s="189">
        <f t="shared" si="22"/>
        <v>22410</v>
      </c>
      <c r="U68" s="189">
        <f t="shared" si="22"/>
        <v>24060</v>
      </c>
      <c r="V68" s="189">
        <f t="shared" si="22"/>
        <v>25710</v>
      </c>
      <c r="W68" s="189">
        <f t="shared" si="22"/>
        <v>27390</v>
      </c>
      <c r="Y68" s="189">
        <f t="shared" ref="Y68:AF68" si="23">+Y124/5*3</f>
        <v>14910</v>
      </c>
      <c r="Z68" s="189">
        <f t="shared" si="23"/>
        <v>17040</v>
      </c>
      <c r="AA68" s="189">
        <f t="shared" si="23"/>
        <v>19170</v>
      </c>
      <c r="AB68" s="189">
        <f t="shared" si="23"/>
        <v>21270</v>
      </c>
      <c r="AC68" s="189">
        <f t="shared" si="23"/>
        <v>22980</v>
      </c>
      <c r="AD68" s="189">
        <f t="shared" si="23"/>
        <v>24690</v>
      </c>
      <c r="AE68" s="189">
        <f t="shared" si="23"/>
        <v>26400</v>
      </c>
      <c r="AF68" s="189">
        <f t="shared" si="23"/>
        <v>28080</v>
      </c>
      <c r="AI68" s="189">
        <f t="shared" ref="AI68:AP68" si="24">+AI124/5*3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1</v>
      </c>
      <c r="C69" s="89">
        <f t="shared" si="13"/>
        <v>1</v>
      </c>
      <c r="E69" s="287">
        <f>+MAX(E68,E70)</f>
        <v>15120</v>
      </c>
      <c r="F69" s="287">
        <f t="shared" ref="F69:L69" si="25">+MAX(F68,F70)</f>
        <v>17280</v>
      </c>
      <c r="G69" s="287">
        <f t="shared" si="25"/>
        <v>19440</v>
      </c>
      <c r="H69" s="287">
        <f t="shared" si="25"/>
        <v>21570</v>
      </c>
      <c r="I69" s="287">
        <f t="shared" si="25"/>
        <v>23310</v>
      </c>
      <c r="J69" s="287">
        <f t="shared" si="25"/>
        <v>25050</v>
      </c>
      <c r="K69" s="287">
        <f t="shared" si="25"/>
        <v>26760</v>
      </c>
      <c r="L69" s="287">
        <f t="shared" si="25"/>
        <v>28500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1</v>
      </c>
      <c r="C70" s="89">
        <f t="shared" si="13"/>
        <v>1</v>
      </c>
      <c r="E70" s="286">
        <f t="shared" ref="E70:L70" si="26">+MAX(P70,Y70,AI70)</f>
        <v>15120</v>
      </c>
      <c r="F70" s="286">
        <f t="shared" si="26"/>
        <v>17280</v>
      </c>
      <c r="G70" s="286">
        <f t="shared" si="26"/>
        <v>19440</v>
      </c>
      <c r="H70" s="286">
        <f t="shared" si="26"/>
        <v>21570</v>
      </c>
      <c r="I70" s="286">
        <f t="shared" si="26"/>
        <v>23310</v>
      </c>
      <c r="J70" s="286">
        <f t="shared" si="26"/>
        <v>25050</v>
      </c>
      <c r="K70" s="286">
        <f t="shared" si="26"/>
        <v>26760</v>
      </c>
      <c r="L70" s="286">
        <f t="shared" si="26"/>
        <v>28500</v>
      </c>
      <c r="N70" s="163" t="s">
        <v>2105</v>
      </c>
      <c r="P70" s="189">
        <f t="shared" ref="P70:W70" si="27">+P126/5*3</f>
        <v>14730</v>
      </c>
      <c r="Q70" s="189">
        <f t="shared" si="27"/>
        <v>16830</v>
      </c>
      <c r="R70" s="189">
        <f t="shared" si="27"/>
        <v>18930</v>
      </c>
      <c r="S70" s="189">
        <f t="shared" si="27"/>
        <v>21030</v>
      </c>
      <c r="T70" s="189">
        <f t="shared" si="27"/>
        <v>22740</v>
      </c>
      <c r="U70" s="189">
        <f t="shared" si="27"/>
        <v>24420</v>
      </c>
      <c r="V70" s="189">
        <f t="shared" si="27"/>
        <v>26100</v>
      </c>
      <c r="W70" s="189">
        <f t="shared" si="27"/>
        <v>27780</v>
      </c>
      <c r="Y70" s="189">
        <f t="shared" ref="Y70:AF70" si="28">+Y126/5*3</f>
        <v>15120</v>
      </c>
      <c r="Z70" s="189">
        <f t="shared" si="28"/>
        <v>17280</v>
      </c>
      <c r="AA70" s="189">
        <f t="shared" si="28"/>
        <v>19440</v>
      </c>
      <c r="AB70" s="189">
        <f t="shared" si="28"/>
        <v>21570</v>
      </c>
      <c r="AC70" s="189">
        <f t="shared" si="28"/>
        <v>23310</v>
      </c>
      <c r="AD70" s="189">
        <f t="shared" si="28"/>
        <v>25050</v>
      </c>
      <c r="AE70" s="189">
        <f t="shared" si="28"/>
        <v>26760</v>
      </c>
      <c r="AF70" s="189">
        <f t="shared" si="28"/>
        <v>28500</v>
      </c>
      <c r="AI70" s="189">
        <f t="shared" ref="AI70:AP70" si="29">+AI126/5*3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1</v>
      </c>
      <c r="C71" s="89">
        <f t="shared" si="13"/>
        <v>1</v>
      </c>
      <c r="E71" s="287">
        <f t="shared" ref="E71:L71" si="30">+MAX(E70,E72)</f>
        <v>15120</v>
      </c>
      <c r="F71" s="287">
        <f t="shared" si="30"/>
        <v>17280</v>
      </c>
      <c r="G71" s="287">
        <f t="shared" si="30"/>
        <v>19440</v>
      </c>
      <c r="H71" s="287">
        <f t="shared" si="30"/>
        <v>21570</v>
      </c>
      <c r="I71" s="287">
        <f t="shared" si="30"/>
        <v>23310</v>
      </c>
      <c r="J71" s="287">
        <f t="shared" si="30"/>
        <v>25050</v>
      </c>
      <c r="K71" s="287">
        <f t="shared" si="30"/>
        <v>26760</v>
      </c>
      <c r="L71" s="287">
        <f t="shared" si="30"/>
        <v>28500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1</v>
      </c>
      <c r="C72" s="89">
        <f t="shared" si="13"/>
        <v>1</v>
      </c>
      <c r="E72" s="286">
        <f t="shared" ref="E72:L72" si="31">+MAX(P72,Y72,AI72)</f>
        <v>15120</v>
      </c>
      <c r="F72" s="286">
        <f t="shared" si="31"/>
        <v>17280</v>
      </c>
      <c r="G72" s="286">
        <f t="shared" si="31"/>
        <v>19440</v>
      </c>
      <c r="H72" s="286">
        <f t="shared" si="31"/>
        <v>21570</v>
      </c>
      <c r="I72" s="286">
        <f t="shared" si="31"/>
        <v>23310</v>
      </c>
      <c r="J72" s="286">
        <f t="shared" si="31"/>
        <v>25050</v>
      </c>
      <c r="K72" s="286">
        <f t="shared" si="31"/>
        <v>26760</v>
      </c>
      <c r="L72" s="286">
        <f t="shared" si="31"/>
        <v>28500</v>
      </c>
      <c r="N72" s="163" t="s">
        <v>2123</v>
      </c>
      <c r="P72" s="189">
        <f t="shared" ref="P72:W72" si="32">+P128/5*3</f>
        <v>14190</v>
      </c>
      <c r="Q72" s="189">
        <f t="shared" si="32"/>
        <v>16200</v>
      </c>
      <c r="R72" s="189">
        <f t="shared" si="32"/>
        <v>18240</v>
      </c>
      <c r="S72" s="189">
        <f t="shared" si="32"/>
        <v>20250</v>
      </c>
      <c r="T72" s="189">
        <f t="shared" si="32"/>
        <v>21870</v>
      </c>
      <c r="U72" s="189">
        <f t="shared" si="32"/>
        <v>23490</v>
      </c>
      <c r="V72" s="189">
        <f t="shared" si="32"/>
        <v>25110</v>
      </c>
      <c r="W72" s="189">
        <f t="shared" si="32"/>
        <v>26730</v>
      </c>
      <c r="Y72" s="189">
        <f t="shared" ref="Y72:AF72" si="33">+Y128/5*3</f>
        <v>15120</v>
      </c>
      <c r="Z72" s="189">
        <f t="shared" si="33"/>
        <v>17280</v>
      </c>
      <c r="AA72" s="189">
        <f t="shared" si="33"/>
        <v>19440</v>
      </c>
      <c r="AB72" s="189">
        <f t="shared" si="33"/>
        <v>21570</v>
      </c>
      <c r="AC72" s="189">
        <f t="shared" si="33"/>
        <v>23310</v>
      </c>
      <c r="AD72" s="189">
        <f t="shared" si="33"/>
        <v>25050</v>
      </c>
      <c r="AE72" s="189">
        <f t="shared" si="33"/>
        <v>26760</v>
      </c>
      <c r="AF72" s="189">
        <f t="shared" si="33"/>
        <v>28500</v>
      </c>
      <c r="AI72" s="189">
        <f t="shared" ref="AI72:AP72" si="34">+AI128*0.6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1</v>
      </c>
      <c r="C73" s="183">
        <f t="shared" si="13"/>
        <v>1</v>
      </c>
      <c r="E73" s="287">
        <f t="shared" ref="E73:L73" si="36">+MAX(E72,E74)</f>
        <v>15120</v>
      </c>
      <c r="F73" s="287">
        <f t="shared" si="36"/>
        <v>17280</v>
      </c>
      <c r="G73" s="287">
        <f t="shared" si="36"/>
        <v>19440</v>
      </c>
      <c r="H73" s="287">
        <f t="shared" si="36"/>
        <v>21570</v>
      </c>
      <c r="I73" s="287">
        <f t="shared" si="36"/>
        <v>23310</v>
      </c>
      <c r="J73" s="287">
        <f t="shared" si="36"/>
        <v>25050</v>
      </c>
      <c r="K73" s="287">
        <f t="shared" si="36"/>
        <v>26760</v>
      </c>
      <c r="L73" s="287">
        <f t="shared" si="36"/>
        <v>28500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1</v>
      </c>
      <c r="C74" s="183">
        <f t="shared" si="13"/>
        <v>1</v>
      </c>
      <c r="E74" s="286">
        <f t="shared" ref="E74:L74" si="37">+MAX(P74,Y74,AI74)</f>
        <v>15120</v>
      </c>
      <c r="F74" s="286">
        <f t="shared" si="37"/>
        <v>17280</v>
      </c>
      <c r="G74" s="286">
        <f t="shared" si="37"/>
        <v>19440</v>
      </c>
      <c r="H74" s="286">
        <f t="shared" si="37"/>
        <v>21570</v>
      </c>
      <c r="I74" s="286">
        <f t="shared" si="37"/>
        <v>23310</v>
      </c>
      <c r="J74" s="286">
        <f t="shared" si="37"/>
        <v>25050</v>
      </c>
      <c r="K74" s="286">
        <f t="shared" si="37"/>
        <v>26760</v>
      </c>
      <c r="L74" s="286">
        <f t="shared" si="37"/>
        <v>28500</v>
      </c>
      <c r="N74" s="95" t="s">
        <v>2187</v>
      </c>
      <c r="P74" s="189">
        <f t="shared" ref="P74:W74" si="38">+P130/5*3</f>
        <v>14280</v>
      </c>
      <c r="Q74" s="189">
        <f t="shared" si="38"/>
        <v>16320</v>
      </c>
      <c r="R74" s="189">
        <f t="shared" si="38"/>
        <v>18360</v>
      </c>
      <c r="S74" s="189">
        <f t="shared" si="38"/>
        <v>20370</v>
      </c>
      <c r="T74" s="189">
        <f t="shared" si="38"/>
        <v>22020</v>
      </c>
      <c r="U74" s="189">
        <f t="shared" si="38"/>
        <v>23640</v>
      </c>
      <c r="V74" s="189">
        <f t="shared" si="38"/>
        <v>25260</v>
      </c>
      <c r="W74" s="189">
        <f t="shared" si="38"/>
        <v>26910</v>
      </c>
      <c r="Y74" s="189">
        <f t="shared" ref="Y74:AF74" si="39">+Y130/5*3</f>
        <v>15120</v>
      </c>
      <c r="Z74" s="189">
        <f t="shared" si="39"/>
        <v>17280</v>
      </c>
      <c r="AA74" s="189">
        <f t="shared" si="39"/>
        <v>19440</v>
      </c>
      <c r="AB74" s="189">
        <f t="shared" si="39"/>
        <v>21570</v>
      </c>
      <c r="AC74" s="189">
        <f t="shared" si="39"/>
        <v>23310</v>
      </c>
      <c r="AD74" s="189">
        <f t="shared" si="39"/>
        <v>25050</v>
      </c>
      <c r="AE74" s="189">
        <f t="shared" si="39"/>
        <v>26760</v>
      </c>
      <c r="AF74" s="189">
        <f t="shared" si="39"/>
        <v>28500</v>
      </c>
      <c r="AI74" s="189">
        <f t="shared" ref="AI74:AP74" si="40">+AI130*0.6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1</v>
      </c>
      <c r="C75" s="183">
        <f t="shared" ref="C75:C80" si="41">+IF((A75+B75)=2,1,A75+B75)</f>
        <v>1</v>
      </c>
      <c r="E75" s="287">
        <f>+MAX(E74,E76)</f>
        <v>15180</v>
      </c>
      <c r="F75" s="287">
        <f t="shared" ref="F75:L75" si="42">+MAX(F74,F76)</f>
        <v>17340</v>
      </c>
      <c r="G75" s="287">
        <f t="shared" si="42"/>
        <v>19500</v>
      </c>
      <c r="H75" s="287">
        <f t="shared" si="42"/>
        <v>21660</v>
      </c>
      <c r="I75" s="287">
        <f t="shared" si="42"/>
        <v>23400</v>
      </c>
      <c r="J75" s="287">
        <f t="shared" si="42"/>
        <v>25140</v>
      </c>
      <c r="K75" s="287">
        <f t="shared" si="42"/>
        <v>26880</v>
      </c>
      <c r="L75" s="287">
        <f t="shared" si="42"/>
        <v>28620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1</v>
      </c>
      <c r="C76" s="183">
        <f t="shared" si="41"/>
        <v>1</v>
      </c>
      <c r="E76" s="288">
        <f t="shared" ref="E76:L76" si="43">+MAX(P76,Y76,AI76)</f>
        <v>15180</v>
      </c>
      <c r="F76" s="288">
        <f t="shared" si="43"/>
        <v>17340</v>
      </c>
      <c r="G76" s="288">
        <f t="shared" si="43"/>
        <v>19500</v>
      </c>
      <c r="H76" s="288">
        <f t="shared" si="43"/>
        <v>21660</v>
      </c>
      <c r="I76" s="288">
        <f t="shared" si="43"/>
        <v>23400</v>
      </c>
      <c r="J76" s="288">
        <f t="shared" si="43"/>
        <v>25140</v>
      </c>
      <c r="K76" s="288">
        <f t="shared" si="43"/>
        <v>26880</v>
      </c>
      <c r="L76" s="288">
        <f t="shared" si="43"/>
        <v>28620</v>
      </c>
      <c r="N76" s="95" t="s">
        <v>2226</v>
      </c>
      <c r="P76" s="189">
        <f t="shared" ref="P76:W76" si="44">+P132/5*3</f>
        <v>14790</v>
      </c>
      <c r="Q76" s="189">
        <f t="shared" si="44"/>
        <v>16920</v>
      </c>
      <c r="R76" s="189">
        <f t="shared" si="44"/>
        <v>19020</v>
      </c>
      <c r="S76" s="189">
        <f t="shared" si="44"/>
        <v>21120</v>
      </c>
      <c r="T76" s="189">
        <f t="shared" si="44"/>
        <v>22830</v>
      </c>
      <c r="U76" s="189">
        <f t="shared" si="44"/>
        <v>24510</v>
      </c>
      <c r="V76" s="189">
        <f t="shared" si="44"/>
        <v>26190</v>
      </c>
      <c r="W76" s="189">
        <f t="shared" si="44"/>
        <v>27900</v>
      </c>
      <c r="Y76" s="189">
        <f t="shared" ref="Y76:AF76" si="45">+Y132/5*3</f>
        <v>15180</v>
      </c>
      <c r="Z76" s="189">
        <f t="shared" si="45"/>
        <v>17340</v>
      </c>
      <c r="AA76" s="189">
        <f t="shared" si="45"/>
        <v>19500</v>
      </c>
      <c r="AB76" s="189">
        <f t="shared" si="45"/>
        <v>21660</v>
      </c>
      <c r="AC76" s="189">
        <f t="shared" si="45"/>
        <v>23400</v>
      </c>
      <c r="AD76" s="189">
        <f t="shared" si="45"/>
        <v>25140</v>
      </c>
      <c r="AE76" s="189">
        <f t="shared" si="45"/>
        <v>26880</v>
      </c>
      <c r="AF76" s="189">
        <f t="shared" si="45"/>
        <v>28620</v>
      </c>
      <c r="AI76" s="189">
        <f t="shared" ref="AI76:AP76" si="46">+AI132*0.6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1</v>
      </c>
      <c r="C77" s="183">
        <f t="shared" si="41"/>
        <v>1</v>
      </c>
      <c r="E77" s="287">
        <f>+MAX(E76,E78)</f>
        <v>15480</v>
      </c>
      <c r="F77" s="287">
        <f t="shared" ref="F77:L77" si="47">+MAX(F76,F78)</f>
        <v>17670</v>
      </c>
      <c r="G77" s="287">
        <f t="shared" si="47"/>
        <v>19890</v>
      </c>
      <c r="H77" s="287">
        <f t="shared" si="47"/>
        <v>22080</v>
      </c>
      <c r="I77" s="287">
        <f t="shared" si="47"/>
        <v>23850</v>
      </c>
      <c r="J77" s="287">
        <f t="shared" si="47"/>
        <v>25620</v>
      </c>
      <c r="K77" s="287">
        <f t="shared" si="47"/>
        <v>27390</v>
      </c>
      <c r="L77" s="287">
        <f t="shared" si="47"/>
        <v>29160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1</v>
      </c>
      <c r="C78" s="284">
        <f t="shared" si="41"/>
        <v>1</v>
      </c>
      <c r="D78" s="202"/>
      <c r="E78" s="288">
        <f t="shared" ref="E78:L78" si="49">+MAX(P78,Y78,AI78)</f>
        <v>15480</v>
      </c>
      <c r="F78" s="288">
        <f t="shared" si="49"/>
        <v>17670</v>
      </c>
      <c r="G78" s="288">
        <f t="shared" si="49"/>
        <v>19890</v>
      </c>
      <c r="H78" s="288">
        <f t="shared" si="49"/>
        <v>22080</v>
      </c>
      <c r="I78" s="288">
        <f t="shared" si="49"/>
        <v>23850</v>
      </c>
      <c r="J78" s="288">
        <f t="shared" si="49"/>
        <v>25620</v>
      </c>
      <c r="K78" s="288">
        <f t="shared" si="49"/>
        <v>27390</v>
      </c>
      <c r="L78" s="288">
        <f t="shared" si="49"/>
        <v>29160</v>
      </c>
      <c r="M78" s="202"/>
      <c r="N78" s="95" t="str">
        <f>AU25</f>
        <v>5/13/2016 - 4/13/2017</v>
      </c>
      <c r="O78" s="202"/>
      <c r="P78" s="192">
        <f t="shared" ref="P78:W78" si="50">+P134*0.6</f>
        <v>15060</v>
      </c>
      <c r="Q78" s="192">
        <f t="shared" si="50"/>
        <v>17220</v>
      </c>
      <c r="R78" s="192">
        <f t="shared" si="50"/>
        <v>19380</v>
      </c>
      <c r="S78" s="192">
        <f t="shared" si="50"/>
        <v>21510</v>
      </c>
      <c r="T78" s="192">
        <f t="shared" si="50"/>
        <v>23250</v>
      </c>
      <c r="U78" s="192">
        <f t="shared" si="50"/>
        <v>24960</v>
      </c>
      <c r="V78" s="192">
        <f t="shared" si="50"/>
        <v>26700</v>
      </c>
      <c r="W78" s="192">
        <f t="shared" si="50"/>
        <v>28410</v>
      </c>
      <c r="X78" s="202"/>
      <c r="Y78" s="192">
        <f t="shared" ref="Y78:AF78" si="51">+Y134*0.6</f>
        <v>15480</v>
      </c>
      <c r="Z78" s="192">
        <f t="shared" si="51"/>
        <v>17670</v>
      </c>
      <c r="AA78" s="192">
        <f t="shared" si="51"/>
        <v>19890</v>
      </c>
      <c r="AB78" s="192">
        <f t="shared" si="51"/>
        <v>22080</v>
      </c>
      <c r="AC78" s="192">
        <f t="shared" si="51"/>
        <v>23850</v>
      </c>
      <c r="AD78" s="192">
        <f t="shared" si="51"/>
        <v>25620</v>
      </c>
      <c r="AE78" s="192">
        <f t="shared" si="51"/>
        <v>27390</v>
      </c>
      <c r="AF78" s="192">
        <f t="shared" si="51"/>
        <v>29160</v>
      </c>
      <c r="AG78" s="202"/>
      <c r="AH78" s="202"/>
      <c r="AI78" s="192">
        <f t="shared" ref="AI78:AP78" si="52">+AI134*0.6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1</v>
      </c>
      <c r="C79" s="284">
        <f t="shared" si="41"/>
        <v>1</v>
      </c>
      <c r="D79" s="202"/>
      <c r="E79" s="287">
        <f t="shared" ref="E79:L79" si="53">+MAX(E78,E80)</f>
        <v>15840</v>
      </c>
      <c r="F79" s="287">
        <f t="shared" si="53"/>
        <v>18090</v>
      </c>
      <c r="G79" s="287">
        <f t="shared" si="53"/>
        <v>20340</v>
      </c>
      <c r="H79" s="287">
        <f t="shared" si="53"/>
        <v>22590</v>
      </c>
      <c r="I79" s="287">
        <f t="shared" si="53"/>
        <v>24420</v>
      </c>
      <c r="J79" s="287">
        <f t="shared" si="53"/>
        <v>26220</v>
      </c>
      <c r="K79" s="287">
        <f t="shared" si="53"/>
        <v>28020</v>
      </c>
      <c r="L79" s="287">
        <f t="shared" si="53"/>
        <v>29820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1</v>
      </c>
      <c r="C80" s="285">
        <f t="shared" si="41"/>
        <v>1</v>
      </c>
      <c r="D80" s="202"/>
      <c r="E80" s="289">
        <f t="shared" ref="E80:L80" si="55">+MAX(P80,Y80,AI80)</f>
        <v>15840</v>
      </c>
      <c r="F80" s="289">
        <f t="shared" si="55"/>
        <v>18090</v>
      </c>
      <c r="G80" s="289">
        <f t="shared" si="55"/>
        <v>20340</v>
      </c>
      <c r="H80" s="289">
        <f t="shared" si="55"/>
        <v>22590</v>
      </c>
      <c r="I80" s="289">
        <f t="shared" si="55"/>
        <v>24420</v>
      </c>
      <c r="J80" s="289">
        <f t="shared" si="55"/>
        <v>26220</v>
      </c>
      <c r="K80" s="289">
        <f t="shared" si="55"/>
        <v>28020</v>
      </c>
      <c r="L80" s="289">
        <f t="shared" si="55"/>
        <v>29820</v>
      </c>
      <c r="M80" s="202"/>
      <c r="N80" s="95" t="str">
        <f>AU27</f>
        <v>5/30/2017 - 3/31/2018</v>
      </c>
      <c r="O80" s="202"/>
      <c r="P80" s="192">
        <f t="shared" ref="P80:W80" si="56">+P136*0.6</f>
        <v>15420</v>
      </c>
      <c r="Q80" s="192">
        <f t="shared" si="56"/>
        <v>17640</v>
      </c>
      <c r="R80" s="192">
        <f t="shared" si="56"/>
        <v>19830</v>
      </c>
      <c r="S80" s="192">
        <f t="shared" si="56"/>
        <v>22020</v>
      </c>
      <c r="T80" s="192">
        <f t="shared" si="56"/>
        <v>23790</v>
      </c>
      <c r="U80" s="192">
        <f t="shared" si="56"/>
        <v>25560</v>
      </c>
      <c r="V80" s="192">
        <f t="shared" si="56"/>
        <v>27330</v>
      </c>
      <c r="W80" s="192">
        <f t="shared" si="56"/>
        <v>29070</v>
      </c>
      <c r="X80" s="202"/>
      <c r="Y80" s="192">
        <f t="shared" ref="Y80:AF80" si="57">+Y136*0.6</f>
        <v>15840</v>
      </c>
      <c r="Z80" s="192">
        <f t="shared" si="57"/>
        <v>18090</v>
      </c>
      <c r="AA80" s="192">
        <f t="shared" si="57"/>
        <v>20340</v>
      </c>
      <c r="AB80" s="192">
        <f t="shared" si="57"/>
        <v>22590</v>
      </c>
      <c r="AC80" s="192">
        <f t="shared" si="57"/>
        <v>24420</v>
      </c>
      <c r="AD80" s="192">
        <f t="shared" si="57"/>
        <v>26220</v>
      </c>
      <c r="AE80" s="192">
        <f t="shared" si="57"/>
        <v>28020</v>
      </c>
      <c r="AF80" s="192">
        <f t="shared" si="57"/>
        <v>29820</v>
      </c>
      <c r="AG80" s="202"/>
      <c r="AH80" s="202"/>
      <c r="AI80" s="192">
        <f t="shared" ref="AI80:AP80" si="58">+AI136*0.6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1</v>
      </c>
      <c r="C81" s="183">
        <f t="shared" ref="C81" si="59">+IF((A81+B81)=2,1,A81+B81)</f>
        <v>1</v>
      </c>
      <c r="D81" s="202"/>
      <c r="E81" s="287">
        <f t="shared" ref="E81:L81" si="60">+MAX(E80,E82)</f>
        <v>16650</v>
      </c>
      <c r="F81" s="287">
        <f t="shared" si="60"/>
        <v>19020</v>
      </c>
      <c r="G81" s="287">
        <f t="shared" si="60"/>
        <v>21390</v>
      </c>
      <c r="H81" s="287">
        <f t="shared" si="60"/>
        <v>23760</v>
      </c>
      <c r="I81" s="287">
        <f t="shared" si="60"/>
        <v>25680</v>
      </c>
      <c r="J81" s="287">
        <f t="shared" si="60"/>
        <v>27570</v>
      </c>
      <c r="K81" s="287">
        <f t="shared" si="60"/>
        <v>29490</v>
      </c>
      <c r="L81" s="287">
        <f t="shared" si="60"/>
        <v>31380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1</v>
      </c>
      <c r="C82" s="183">
        <f t="shared" ref="C82" si="61">+IF((A82+B82)=2,1,A82+B82)</f>
        <v>1</v>
      </c>
      <c r="D82" s="202"/>
      <c r="E82" s="289">
        <f t="shared" ref="E82:L82" si="62">+MAX(P82,Y82,AI82)</f>
        <v>16650</v>
      </c>
      <c r="F82" s="289">
        <f t="shared" si="62"/>
        <v>19020</v>
      </c>
      <c r="G82" s="289">
        <f t="shared" si="62"/>
        <v>21390</v>
      </c>
      <c r="H82" s="289">
        <f t="shared" si="62"/>
        <v>23760</v>
      </c>
      <c r="I82" s="289">
        <f t="shared" si="62"/>
        <v>25680</v>
      </c>
      <c r="J82" s="289">
        <f t="shared" si="62"/>
        <v>27570</v>
      </c>
      <c r="K82" s="289">
        <f t="shared" si="62"/>
        <v>29490</v>
      </c>
      <c r="L82" s="289">
        <f t="shared" si="62"/>
        <v>31380</v>
      </c>
      <c r="M82" s="202"/>
      <c r="N82" s="95" t="str">
        <f>AU29</f>
        <v>5/17/2018 - 4/23/2019</v>
      </c>
      <c r="O82" s="202"/>
      <c r="P82" s="192">
        <f t="shared" ref="P82:W82" si="63">P138*0.6</f>
        <v>16230</v>
      </c>
      <c r="Q82" s="192">
        <f t="shared" si="63"/>
        <v>18540</v>
      </c>
      <c r="R82" s="192">
        <f t="shared" si="63"/>
        <v>20850</v>
      </c>
      <c r="S82" s="192">
        <f t="shared" si="63"/>
        <v>23160</v>
      </c>
      <c r="T82" s="192">
        <f t="shared" si="63"/>
        <v>25020</v>
      </c>
      <c r="U82" s="192">
        <f t="shared" si="63"/>
        <v>26880</v>
      </c>
      <c r="V82" s="192">
        <f t="shared" si="63"/>
        <v>28740</v>
      </c>
      <c r="W82" s="192">
        <f t="shared" si="63"/>
        <v>30600</v>
      </c>
      <c r="X82" s="202"/>
      <c r="Y82" s="192">
        <f t="shared" ref="Y82:AF82" si="64">+Y138*0.6</f>
        <v>16650</v>
      </c>
      <c r="Z82" s="192">
        <f t="shared" si="64"/>
        <v>19020</v>
      </c>
      <c r="AA82" s="192">
        <f t="shared" si="64"/>
        <v>21390</v>
      </c>
      <c r="AB82" s="192">
        <f t="shared" si="64"/>
        <v>23760</v>
      </c>
      <c r="AC82" s="192">
        <f t="shared" si="64"/>
        <v>25680</v>
      </c>
      <c r="AD82" s="192">
        <f t="shared" si="64"/>
        <v>27570</v>
      </c>
      <c r="AE82" s="192">
        <f t="shared" si="64"/>
        <v>29490</v>
      </c>
      <c r="AF82" s="192">
        <f t="shared" si="64"/>
        <v>31380</v>
      </c>
      <c r="AG82" s="202"/>
      <c r="AH82" s="202"/>
      <c r="AI82" s="192">
        <f t="shared" ref="AI82:AP82" si="65">+AI138*0.6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1</v>
      </c>
      <c r="C83" s="183">
        <f t="shared" ref="C83:C88" si="66">+IF((A83+B83)=2,1,A83+B83)</f>
        <v>1</v>
      </c>
      <c r="D83" s="202"/>
      <c r="E83" s="287">
        <f>+MAX(E82,E84)</f>
        <v>17940</v>
      </c>
      <c r="F83" s="287">
        <f t="shared" ref="F83:L83" si="67">+MAX(F82,F84)</f>
        <v>20490</v>
      </c>
      <c r="G83" s="287">
        <f t="shared" si="67"/>
        <v>23040</v>
      </c>
      <c r="H83" s="287">
        <f t="shared" si="67"/>
        <v>25590</v>
      </c>
      <c r="I83" s="287">
        <f t="shared" si="67"/>
        <v>27660</v>
      </c>
      <c r="J83" s="287">
        <f t="shared" si="67"/>
        <v>29700</v>
      </c>
      <c r="K83" s="287">
        <f t="shared" si="67"/>
        <v>31740</v>
      </c>
      <c r="L83" s="287">
        <f t="shared" si="67"/>
        <v>33780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1</v>
      </c>
      <c r="C84" s="296">
        <f t="shared" si="66"/>
        <v>1</v>
      </c>
      <c r="D84" s="202"/>
      <c r="E84" s="297">
        <f>+MAX(P84,Y84,AI84)</f>
        <v>17940</v>
      </c>
      <c r="F84" s="297">
        <f t="shared" ref="F84:L84" si="68">+MAX(Q84,Z84,AJ84)</f>
        <v>20490</v>
      </c>
      <c r="G84" s="297">
        <f t="shared" si="68"/>
        <v>23040</v>
      </c>
      <c r="H84" s="297">
        <f t="shared" si="68"/>
        <v>25590</v>
      </c>
      <c r="I84" s="297">
        <f t="shared" si="68"/>
        <v>27660</v>
      </c>
      <c r="J84" s="297">
        <f t="shared" si="68"/>
        <v>29700</v>
      </c>
      <c r="K84" s="297">
        <f t="shared" si="68"/>
        <v>31740</v>
      </c>
      <c r="L84" s="297">
        <f t="shared" si="68"/>
        <v>33780</v>
      </c>
      <c r="M84" s="202"/>
      <c r="N84" s="314" t="str">
        <f>AU31</f>
        <v>6/9/2019 - 3/31/2020</v>
      </c>
      <c r="O84" s="202"/>
      <c r="P84" s="299">
        <f t="shared" ref="P84:W84" si="69">P140*0.6</f>
        <v>17460</v>
      </c>
      <c r="Q84" s="299">
        <f t="shared" si="69"/>
        <v>19950</v>
      </c>
      <c r="R84" s="299">
        <f t="shared" si="69"/>
        <v>22440</v>
      </c>
      <c r="S84" s="299">
        <f t="shared" si="69"/>
        <v>24930</v>
      </c>
      <c r="T84" s="299">
        <f t="shared" si="69"/>
        <v>26940</v>
      </c>
      <c r="U84" s="299">
        <f t="shared" si="69"/>
        <v>28920</v>
      </c>
      <c r="V84" s="299">
        <f t="shared" si="69"/>
        <v>30930</v>
      </c>
      <c r="W84" s="299">
        <f t="shared" si="69"/>
        <v>32910</v>
      </c>
      <c r="X84" s="202"/>
      <c r="Y84" s="299">
        <f t="shared" ref="Y84:AF84" si="70">+Y140*0.6</f>
        <v>17940</v>
      </c>
      <c r="Z84" s="299">
        <f t="shared" si="70"/>
        <v>20490</v>
      </c>
      <c r="AA84" s="299">
        <f t="shared" si="70"/>
        <v>23040</v>
      </c>
      <c r="AB84" s="299">
        <f t="shared" si="70"/>
        <v>25590</v>
      </c>
      <c r="AC84" s="299">
        <f t="shared" si="70"/>
        <v>27660</v>
      </c>
      <c r="AD84" s="299">
        <f t="shared" si="70"/>
        <v>29700</v>
      </c>
      <c r="AE84" s="299">
        <f t="shared" si="70"/>
        <v>31740</v>
      </c>
      <c r="AF84" s="299">
        <f t="shared" si="70"/>
        <v>33780</v>
      </c>
      <c r="AG84" s="202"/>
      <c r="AH84" s="202"/>
      <c r="AI84" s="299">
        <f t="shared" ref="AI84:AP84" si="71">+AI140*0.6</f>
        <v>0</v>
      </c>
      <c r="AJ84" s="299">
        <f t="shared" si="71"/>
        <v>0</v>
      </c>
      <c r="AK84" s="299">
        <f t="shared" si="71"/>
        <v>0</v>
      </c>
      <c r="AL84" s="299">
        <f t="shared" si="71"/>
        <v>0</v>
      </c>
      <c r="AM84" s="299">
        <f t="shared" si="71"/>
        <v>0</v>
      </c>
      <c r="AN84" s="299">
        <f t="shared" si="71"/>
        <v>0</v>
      </c>
      <c r="AO84" s="299">
        <f t="shared" si="71"/>
        <v>0</v>
      </c>
      <c r="AP84" s="299">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1</v>
      </c>
      <c r="C85" s="183">
        <f t="shared" si="66"/>
        <v>1</v>
      </c>
      <c r="D85" s="202"/>
      <c r="E85" s="287">
        <f>+MAX(E84,E86)</f>
        <v>18600</v>
      </c>
      <c r="F85" s="287">
        <f t="shared" ref="F85:L85" si="72">+MAX(F84,F86)</f>
        <v>21240</v>
      </c>
      <c r="G85" s="287">
        <f t="shared" si="72"/>
        <v>23910</v>
      </c>
      <c r="H85" s="287">
        <f t="shared" si="72"/>
        <v>26550</v>
      </c>
      <c r="I85" s="287">
        <f t="shared" si="72"/>
        <v>28680</v>
      </c>
      <c r="J85" s="287">
        <f t="shared" si="72"/>
        <v>30810</v>
      </c>
      <c r="K85" s="287">
        <f t="shared" si="72"/>
        <v>32940</v>
      </c>
      <c r="L85" s="287">
        <f t="shared" si="72"/>
        <v>35070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1</v>
      </c>
      <c r="C86" s="296">
        <f t="shared" si="66"/>
        <v>1</v>
      </c>
      <c r="D86" s="202"/>
      <c r="E86" s="297">
        <f>+MAX(P86,Y86,AI86)</f>
        <v>18600</v>
      </c>
      <c r="F86" s="297">
        <f t="shared" ref="F86" si="73">+MAX(Q86,Z86,AJ86)</f>
        <v>21240</v>
      </c>
      <c r="G86" s="297">
        <f t="shared" ref="G86" si="74">+MAX(R86,AA86,AK86)</f>
        <v>23910</v>
      </c>
      <c r="H86" s="297">
        <f t="shared" ref="H86" si="75">+MAX(S86,AB86,AL86)</f>
        <v>26550</v>
      </c>
      <c r="I86" s="297">
        <f t="shared" ref="I86" si="76">+MAX(T86,AC86,AM86)</f>
        <v>28680</v>
      </c>
      <c r="J86" s="297">
        <f t="shared" ref="J86" si="77">+MAX(U86,AD86,AN86)</f>
        <v>30810</v>
      </c>
      <c r="K86" s="297">
        <f t="shared" ref="K86" si="78">+MAX(V86,AE86,AO86)</f>
        <v>32940</v>
      </c>
      <c r="L86" s="297">
        <f t="shared" ref="L86" si="79">+MAX(W86,AF86,AP86)</f>
        <v>35070</v>
      </c>
      <c r="M86" s="202"/>
      <c r="N86" s="322" t="str">
        <f>AU33</f>
        <v>5/17/2020 - 3/31/2021</v>
      </c>
      <c r="O86" s="202"/>
      <c r="P86" s="299">
        <f t="shared" ref="P86:W86" si="80">P142*0.6</f>
        <v>18120</v>
      </c>
      <c r="Q86" s="299">
        <f t="shared" si="80"/>
        <v>20700</v>
      </c>
      <c r="R86" s="299">
        <f t="shared" si="80"/>
        <v>23280</v>
      </c>
      <c r="S86" s="299">
        <f t="shared" si="80"/>
        <v>25860</v>
      </c>
      <c r="T86" s="299">
        <f t="shared" si="80"/>
        <v>27930</v>
      </c>
      <c r="U86" s="299">
        <f t="shared" si="80"/>
        <v>30000</v>
      </c>
      <c r="V86" s="299">
        <f t="shared" si="80"/>
        <v>32070</v>
      </c>
      <c r="W86" s="299">
        <f t="shared" si="80"/>
        <v>34140</v>
      </c>
      <c r="X86" s="202"/>
      <c r="Y86" s="299">
        <f t="shared" ref="Y86:AF86" si="81">+Y142*0.6</f>
        <v>18600</v>
      </c>
      <c r="Z86" s="299">
        <f t="shared" si="81"/>
        <v>21240</v>
      </c>
      <c r="AA86" s="299">
        <f t="shared" si="81"/>
        <v>23910</v>
      </c>
      <c r="AB86" s="299">
        <f t="shared" si="81"/>
        <v>26550</v>
      </c>
      <c r="AC86" s="299">
        <f t="shared" si="81"/>
        <v>28680</v>
      </c>
      <c r="AD86" s="299">
        <f t="shared" si="81"/>
        <v>30810</v>
      </c>
      <c r="AE86" s="299">
        <f t="shared" si="81"/>
        <v>32940</v>
      </c>
      <c r="AF86" s="299">
        <f t="shared" si="81"/>
        <v>35070</v>
      </c>
      <c r="AG86" s="202"/>
      <c r="AH86" s="202"/>
      <c r="AI86" s="299">
        <f t="shared" ref="AI86:AP86" si="82">+AI142*0.6</f>
        <v>0</v>
      </c>
      <c r="AJ86" s="299">
        <f t="shared" si="82"/>
        <v>0</v>
      </c>
      <c r="AK86" s="299">
        <f t="shared" si="82"/>
        <v>0</v>
      </c>
      <c r="AL86" s="299">
        <f t="shared" si="82"/>
        <v>0</v>
      </c>
      <c r="AM86" s="299">
        <f t="shared" si="82"/>
        <v>0</v>
      </c>
      <c r="AN86" s="299">
        <f t="shared" si="82"/>
        <v>0</v>
      </c>
      <c r="AO86" s="299">
        <f t="shared" si="82"/>
        <v>0</v>
      </c>
      <c r="AP86" s="299">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1</v>
      </c>
      <c r="C87" s="183">
        <f t="shared" si="66"/>
        <v>1</v>
      </c>
      <c r="D87" s="202"/>
      <c r="E87" s="287">
        <f>+MAX(E86,E88)</f>
        <v>19200</v>
      </c>
      <c r="F87" s="287">
        <f t="shared" ref="F87:L87" si="83">+MAX(F86,F88)</f>
        <v>21930</v>
      </c>
      <c r="G87" s="287">
        <f t="shared" si="83"/>
        <v>24660</v>
      </c>
      <c r="H87" s="287">
        <f t="shared" si="83"/>
        <v>27390</v>
      </c>
      <c r="I87" s="287">
        <f t="shared" si="83"/>
        <v>29610</v>
      </c>
      <c r="J87" s="287">
        <f t="shared" si="83"/>
        <v>31800</v>
      </c>
      <c r="K87" s="287">
        <f t="shared" si="83"/>
        <v>33990</v>
      </c>
      <c r="L87" s="287">
        <f t="shared" si="83"/>
        <v>36180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1</v>
      </c>
      <c r="C88" s="296">
        <f t="shared" si="66"/>
        <v>1</v>
      </c>
      <c r="D88" s="202"/>
      <c r="E88" s="297">
        <f>+MAX(P88,Y88,AI88)</f>
        <v>19200</v>
      </c>
      <c r="F88" s="297">
        <f t="shared" ref="F88" si="84">+MAX(Q88,Z88,AJ88)</f>
        <v>21930</v>
      </c>
      <c r="G88" s="297">
        <f t="shared" ref="G88" si="85">+MAX(R88,AA88,AK88)</f>
        <v>24660</v>
      </c>
      <c r="H88" s="297">
        <f t="shared" ref="H88" si="86">+MAX(S88,AB88,AL88)</f>
        <v>27390</v>
      </c>
      <c r="I88" s="297">
        <f t="shared" ref="I88" si="87">+MAX(T88,AC88,AM88)</f>
        <v>29610</v>
      </c>
      <c r="J88" s="297">
        <f t="shared" ref="J88" si="88">+MAX(U88,AD88,AN88)</f>
        <v>31800</v>
      </c>
      <c r="K88" s="297">
        <f t="shared" ref="K88" si="89">+MAX(V88,AE88,AO88)</f>
        <v>33990</v>
      </c>
      <c r="L88" s="297">
        <f t="shared" ref="L88" si="90">+MAX(W88,AF88,AP88)</f>
        <v>36180</v>
      </c>
      <c r="M88" s="202"/>
      <c r="N88" s="322" t="str">
        <f>AU35</f>
        <v>On or After 5/17/2021</v>
      </c>
      <c r="O88" s="202"/>
      <c r="P88" s="299">
        <f t="shared" ref="P88:W88" si="91">P144*0.6</f>
        <v>18690</v>
      </c>
      <c r="Q88" s="299">
        <f t="shared" si="91"/>
        <v>21360</v>
      </c>
      <c r="R88" s="299">
        <f t="shared" si="91"/>
        <v>24030</v>
      </c>
      <c r="S88" s="299">
        <f t="shared" si="91"/>
        <v>26700</v>
      </c>
      <c r="T88" s="299">
        <f t="shared" si="91"/>
        <v>28860</v>
      </c>
      <c r="U88" s="299">
        <f t="shared" si="91"/>
        <v>30990</v>
      </c>
      <c r="V88" s="299">
        <f t="shared" si="91"/>
        <v>33120</v>
      </c>
      <c r="W88" s="299">
        <f t="shared" si="91"/>
        <v>35250</v>
      </c>
      <c r="X88" s="202"/>
      <c r="Y88" s="299">
        <f t="shared" ref="Y88:AF88" si="92">+Y144*0.6</f>
        <v>19200</v>
      </c>
      <c r="Z88" s="299">
        <f t="shared" si="92"/>
        <v>21930</v>
      </c>
      <c r="AA88" s="299">
        <f t="shared" si="92"/>
        <v>24660</v>
      </c>
      <c r="AB88" s="299">
        <f t="shared" si="92"/>
        <v>27390</v>
      </c>
      <c r="AC88" s="299">
        <f t="shared" si="92"/>
        <v>29610</v>
      </c>
      <c r="AD88" s="299">
        <f t="shared" si="92"/>
        <v>31800</v>
      </c>
      <c r="AE88" s="299">
        <f t="shared" si="92"/>
        <v>33990</v>
      </c>
      <c r="AF88" s="299">
        <f t="shared" si="92"/>
        <v>36180</v>
      </c>
      <c r="AG88" s="202"/>
      <c r="AH88" s="202"/>
      <c r="AI88" s="299">
        <f t="shared" ref="AI88:AP88" si="93">+AI144*0.6</f>
        <v>0</v>
      </c>
      <c r="AJ88" s="299">
        <f t="shared" si="93"/>
        <v>0</v>
      </c>
      <c r="AK88" s="299">
        <f t="shared" si="93"/>
        <v>0</v>
      </c>
      <c r="AL88" s="299">
        <f t="shared" si="93"/>
        <v>0</v>
      </c>
      <c r="AM88" s="299">
        <f t="shared" si="93"/>
        <v>0</v>
      </c>
      <c r="AN88" s="299">
        <f t="shared" si="93"/>
        <v>0</v>
      </c>
      <c r="AO88" s="299">
        <f t="shared" si="93"/>
        <v>0</v>
      </c>
      <c r="AP88" s="299">
        <f t="shared" si="93"/>
        <v>0</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71" t="s">
        <v>1412</v>
      </c>
      <c r="Q90" s="371"/>
      <c r="R90" s="371"/>
      <c r="S90" s="371"/>
      <c r="T90" s="371"/>
      <c r="U90" s="371"/>
      <c r="V90" s="371"/>
      <c r="W90" s="371"/>
      <c r="Y90" s="389" t="s">
        <v>1413</v>
      </c>
      <c r="Z90" s="389"/>
      <c r="AA90" s="389"/>
      <c r="AB90" s="389"/>
      <c r="AC90" s="389"/>
      <c r="AD90" s="389"/>
      <c r="AE90" s="389"/>
      <c r="AF90" s="389"/>
      <c r="AI90" s="373" t="s">
        <v>1414</v>
      </c>
      <c r="AJ90" s="373"/>
      <c r="AK90" s="373"/>
      <c r="AL90" s="373"/>
      <c r="AM90" s="373"/>
      <c r="AN90" s="373"/>
      <c r="AO90" s="373"/>
      <c r="AP90" s="373"/>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1</v>
      </c>
      <c r="B91" s="89">
        <f>IF($B$18=$AU10,1,0)</f>
        <v>1</v>
      </c>
      <c r="C91" s="89">
        <f t="shared" ref="C91:C116" si="96">+IF((A63+B63)=2,1,A63+B63)</f>
        <v>1</v>
      </c>
      <c r="E91" s="286">
        <f t="shared" ref="E91:L92" si="97">+MAX(P91,Y91,AI91)</f>
        <v>19640</v>
      </c>
      <c r="F91" s="286">
        <f t="shared" si="97"/>
        <v>22440</v>
      </c>
      <c r="G91" s="286">
        <f t="shared" si="97"/>
        <v>25240</v>
      </c>
      <c r="H91" s="286">
        <f t="shared" si="97"/>
        <v>28040</v>
      </c>
      <c r="I91" s="286">
        <f t="shared" si="97"/>
        <v>30280</v>
      </c>
      <c r="J91" s="286">
        <f t="shared" si="97"/>
        <v>32520</v>
      </c>
      <c r="K91" s="286">
        <f t="shared" si="97"/>
        <v>34760</v>
      </c>
      <c r="L91" s="286">
        <f t="shared" si="97"/>
        <v>37000</v>
      </c>
      <c r="N91" s="91" t="str">
        <f>CONCATENATE($AU$10,$B$11,N90)</f>
        <v>Before 12-31-2008Kaufman40</v>
      </c>
      <c r="P91" s="189">
        <f>VLOOKUP($N91,'pre 12-31-08'!$A$4:$L$1400,E$90+3,FALSE)</f>
        <v>19640</v>
      </c>
      <c r="Q91" s="189">
        <f>VLOOKUP($N91,'pre 12-31-08'!$A$4:$L$1400,F$90+3,FALSE)</f>
        <v>22440</v>
      </c>
      <c r="R91" s="189">
        <f>VLOOKUP($N91,'pre 12-31-08'!$A$4:$L$1400,G$90+3,FALSE)</f>
        <v>25240</v>
      </c>
      <c r="S91" s="189">
        <f>VLOOKUP($N91,'pre 12-31-08'!$A$4:$L$1400,H$90+3,FALSE)</f>
        <v>28040</v>
      </c>
      <c r="T91" s="189">
        <f>VLOOKUP($N91,'pre 12-31-08'!$A$4:$L$1400,I$90+3,FALSE)</f>
        <v>30280</v>
      </c>
      <c r="U91" s="189">
        <f>VLOOKUP($N91,'pre 12-31-08'!$A$4:$L$1400,J$90+3,FALSE)</f>
        <v>32520</v>
      </c>
      <c r="V91" s="189">
        <f>VLOOKUP($N91,'pre 12-31-08'!$A$4:$L$1400,K$90+3,FALSE)</f>
        <v>34760</v>
      </c>
      <c r="W91" s="189">
        <f>VLOOKUP($N91,'pre 12-31-08'!$A$4:$L$1400,L$90+3,FALSE)</f>
        <v>37000</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1</v>
      </c>
      <c r="C92" s="89">
        <f t="shared" si="96"/>
        <v>1</v>
      </c>
      <c r="E92" s="286">
        <f t="shared" si="97"/>
        <v>19160</v>
      </c>
      <c r="F92" s="286">
        <f t="shared" si="97"/>
        <v>21880</v>
      </c>
      <c r="G92" s="286">
        <f t="shared" si="97"/>
        <v>24600</v>
      </c>
      <c r="H92" s="286">
        <f t="shared" si="97"/>
        <v>27320</v>
      </c>
      <c r="I92" s="286">
        <f t="shared" si="97"/>
        <v>29520</v>
      </c>
      <c r="J92" s="286">
        <f t="shared" si="97"/>
        <v>31720</v>
      </c>
      <c r="K92" s="286">
        <f t="shared" si="97"/>
        <v>33880</v>
      </c>
      <c r="L92" s="286">
        <f t="shared" si="97"/>
        <v>36080</v>
      </c>
      <c r="N92" s="91" t="str">
        <f>CONCATENATE($AU$11,$B$11,$N$90)</f>
        <v>1/1/2009 - 5/13/2010Kaufman40</v>
      </c>
      <c r="P92" s="189">
        <f>VLOOKUP($N92,'1-1-09-5-14-10'!$A$4:$L$1400,E$90+3,FALSE)</f>
        <v>19160</v>
      </c>
      <c r="Q92" s="189">
        <f>VLOOKUP($N92,'1-1-09-5-14-10'!$A$4:$L$1400,F$90+3,FALSE)</f>
        <v>21880</v>
      </c>
      <c r="R92" s="189">
        <f>VLOOKUP($N92,'1-1-09-5-14-10'!$A$4:$L$1400,G$90+3,FALSE)</f>
        <v>24600</v>
      </c>
      <c r="S92" s="189">
        <f>VLOOKUP($N92,'1-1-09-5-14-10'!$A$4:$L$1400,H$90+3,FALSE)</f>
        <v>27320</v>
      </c>
      <c r="T92" s="189">
        <f>VLOOKUP($N92,'1-1-09-5-14-10'!$A$4:$L$1400,I$90+3,FALSE)</f>
        <v>29520</v>
      </c>
      <c r="U92" s="189">
        <f>VLOOKUP($N92,'1-1-09-5-14-10'!$A$4:$L$1400,J$90+3,FALSE)</f>
        <v>31720</v>
      </c>
      <c r="V92" s="189">
        <f>VLOOKUP($N92,'1-1-09-5-14-10'!$A$4:$L$1400,K$90+3,FALSE)</f>
        <v>33880</v>
      </c>
      <c r="W92" s="189">
        <f>VLOOKUP($N92,'1-1-09-5-14-10'!$A$4:$L$1400,L$90+3,FALSE)</f>
        <v>36080</v>
      </c>
      <c r="Y92" s="38"/>
      <c r="Z92" s="30"/>
      <c r="AA92" s="30"/>
      <c r="AB92" s="30"/>
      <c r="AC92" s="30"/>
      <c r="AD92" s="30"/>
      <c r="AE92" s="30"/>
      <c r="AF92" s="39"/>
      <c r="AI92" s="189">
        <f t="shared" ref="AI92:AP92" si="99">+AI120/5*4</f>
        <v>0</v>
      </c>
      <c r="AJ92" s="189">
        <f t="shared" si="99"/>
        <v>0</v>
      </c>
      <c r="AK92" s="189">
        <f t="shared" si="99"/>
        <v>0</v>
      </c>
      <c r="AL92" s="189">
        <f t="shared" si="99"/>
        <v>0</v>
      </c>
      <c r="AM92" s="189">
        <f t="shared" si="99"/>
        <v>0</v>
      </c>
      <c r="AN92" s="189">
        <f t="shared" si="99"/>
        <v>0</v>
      </c>
      <c r="AO92" s="189">
        <f t="shared" si="99"/>
        <v>0</v>
      </c>
      <c r="AP92" s="189">
        <f t="shared" si="99"/>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1</v>
      </c>
      <c r="C93" s="89">
        <f t="shared" si="96"/>
        <v>1</v>
      </c>
      <c r="E93" s="287">
        <f t="shared" ref="E93:L93" si="100">+MAX(E92,E94)</f>
        <v>19160</v>
      </c>
      <c r="F93" s="287">
        <f t="shared" si="100"/>
        <v>21880</v>
      </c>
      <c r="G93" s="287">
        <f t="shared" si="100"/>
        <v>24600</v>
      </c>
      <c r="H93" s="287">
        <f t="shared" si="100"/>
        <v>27320</v>
      </c>
      <c r="I93" s="287">
        <f t="shared" si="100"/>
        <v>29520</v>
      </c>
      <c r="J93" s="287">
        <f t="shared" si="100"/>
        <v>31720</v>
      </c>
      <c r="K93" s="287">
        <f t="shared" si="100"/>
        <v>33880</v>
      </c>
      <c r="L93" s="287">
        <f t="shared" si="100"/>
        <v>36080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1</v>
      </c>
      <c r="C94" s="89">
        <f t="shared" si="96"/>
        <v>1</v>
      </c>
      <c r="E94" s="286">
        <f t="shared" ref="E94:L94" si="101">+MAX(P94,Y94,AI94)</f>
        <v>19160</v>
      </c>
      <c r="F94" s="286">
        <f t="shared" si="101"/>
        <v>21880</v>
      </c>
      <c r="G94" s="286">
        <f t="shared" si="101"/>
        <v>24600</v>
      </c>
      <c r="H94" s="286">
        <f t="shared" si="101"/>
        <v>27320</v>
      </c>
      <c r="I94" s="286">
        <f t="shared" si="101"/>
        <v>29520</v>
      </c>
      <c r="J94" s="286">
        <f t="shared" si="101"/>
        <v>31720</v>
      </c>
      <c r="K94" s="286">
        <f t="shared" si="101"/>
        <v>33880</v>
      </c>
      <c r="L94" s="286">
        <f t="shared" si="101"/>
        <v>36080</v>
      </c>
      <c r="N94" s="91" t="str">
        <f>CONCATENATE($AU$13,$B$11,$N$90)</f>
        <v>6/29/2010 - 5/30/2011Kaufman40</v>
      </c>
      <c r="P94" s="189">
        <f>VLOOKUP($N94,'5-14-10-5-31-11'!$A$4:$L$1400,E$90+3,FALSE)</f>
        <v>19160</v>
      </c>
      <c r="Q94" s="189">
        <f>VLOOKUP($N94,'5-14-10-5-31-11'!$A$4:$L$1400,F$90+3,FALSE)</f>
        <v>21880</v>
      </c>
      <c r="R94" s="189">
        <f>VLOOKUP($N94,'5-14-10-5-31-11'!$A$4:$L$1400,G$90+3,FALSE)</f>
        <v>24600</v>
      </c>
      <c r="S94" s="189">
        <f>VLOOKUP($N94,'5-14-10-5-31-11'!$A$4:$L$1400,H$90+3,FALSE)</f>
        <v>27320</v>
      </c>
      <c r="T94" s="189">
        <f>VLOOKUP($N94,'5-14-10-5-31-11'!$A$4:$L$1400,I$90+3,FALSE)</f>
        <v>29520</v>
      </c>
      <c r="U94" s="189">
        <f>VLOOKUP($N94,'5-14-10-5-31-11'!$A$4:$L$1400,J$90+3,FALSE)</f>
        <v>31720</v>
      </c>
      <c r="V94" s="189">
        <f>VLOOKUP($N94,'5-14-10-5-31-11'!$A$4:$L$1400,K$90+3,FALSE)</f>
        <v>33880</v>
      </c>
      <c r="W94" s="189">
        <f>VLOOKUP($N94,'5-14-10-5-31-11'!$A$4:$L$1400,L$90+3,FALSE)</f>
        <v>36080</v>
      </c>
      <c r="Y94" s="38"/>
      <c r="Z94" s="30"/>
      <c r="AA94" s="30"/>
      <c r="AB94" s="30"/>
      <c r="AC94" s="30"/>
      <c r="AD94" s="30"/>
      <c r="AE94" s="30"/>
      <c r="AF94" s="39"/>
      <c r="AI94" s="189">
        <f t="shared" ref="AI94:AP94" si="102">+AI122/5*4</f>
        <v>0</v>
      </c>
      <c r="AJ94" s="189">
        <f t="shared" si="102"/>
        <v>0</v>
      </c>
      <c r="AK94" s="189">
        <f t="shared" si="102"/>
        <v>0</v>
      </c>
      <c r="AL94" s="189">
        <f t="shared" si="102"/>
        <v>0</v>
      </c>
      <c r="AM94" s="189">
        <f t="shared" si="102"/>
        <v>0</v>
      </c>
      <c r="AN94" s="189">
        <f t="shared" si="102"/>
        <v>0</v>
      </c>
      <c r="AO94" s="189">
        <f t="shared" si="102"/>
        <v>0</v>
      </c>
      <c r="AP94" s="189">
        <f t="shared" si="102"/>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1</v>
      </c>
      <c r="C95" s="89">
        <f t="shared" si="96"/>
        <v>1</v>
      </c>
      <c r="D95" s="6"/>
      <c r="E95" s="287">
        <f t="shared" ref="E95:L95" si="103">+MAX(E94,E96)</f>
        <v>19880</v>
      </c>
      <c r="F95" s="287">
        <f t="shared" si="103"/>
        <v>22720</v>
      </c>
      <c r="G95" s="287">
        <f t="shared" si="103"/>
        <v>25560</v>
      </c>
      <c r="H95" s="287">
        <f t="shared" si="103"/>
        <v>28360</v>
      </c>
      <c r="I95" s="287">
        <f t="shared" si="103"/>
        <v>30640</v>
      </c>
      <c r="J95" s="287">
        <f t="shared" si="103"/>
        <v>32920</v>
      </c>
      <c r="K95" s="287">
        <f t="shared" si="103"/>
        <v>35200</v>
      </c>
      <c r="L95" s="287">
        <f t="shared" si="103"/>
        <v>37440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1</v>
      </c>
      <c r="C96" s="89">
        <f t="shared" si="96"/>
        <v>1</v>
      </c>
      <c r="D96" s="6"/>
      <c r="E96" s="286">
        <f t="shared" ref="E96:L96" si="104">+MAX(P96,Y96,AI96)</f>
        <v>19880</v>
      </c>
      <c r="F96" s="286">
        <f t="shared" si="104"/>
        <v>22720</v>
      </c>
      <c r="G96" s="286">
        <f t="shared" si="104"/>
        <v>25560</v>
      </c>
      <c r="H96" s="286">
        <f t="shared" si="104"/>
        <v>28360</v>
      </c>
      <c r="I96" s="286">
        <f t="shared" si="104"/>
        <v>30640</v>
      </c>
      <c r="J96" s="286">
        <f t="shared" si="104"/>
        <v>32920</v>
      </c>
      <c r="K96" s="286">
        <f t="shared" si="104"/>
        <v>35200</v>
      </c>
      <c r="L96" s="286">
        <f t="shared" si="104"/>
        <v>37440</v>
      </c>
      <c r="M96" s="6"/>
      <c r="N96" s="163" t="s">
        <v>2103</v>
      </c>
      <c r="O96" s="6"/>
      <c r="P96" s="189">
        <f t="shared" ref="P96:W96" si="105">+P124/5*4</f>
        <v>19360</v>
      </c>
      <c r="Q96" s="189">
        <f t="shared" si="105"/>
        <v>22120</v>
      </c>
      <c r="R96" s="189">
        <f t="shared" si="105"/>
        <v>24880</v>
      </c>
      <c r="S96" s="189">
        <f t="shared" si="105"/>
        <v>27640</v>
      </c>
      <c r="T96" s="189">
        <f t="shared" si="105"/>
        <v>29880</v>
      </c>
      <c r="U96" s="189">
        <f t="shared" si="105"/>
        <v>32080</v>
      </c>
      <c r="V96" s="189">
        <f t="shared" si="105"/>
        <v>34280</v>
      </c>
      <c r="W96" s="189">
        <f t="shared" si="105"/>
        <v>36520</v>
      </c>
      <c r="X96" s="6"/>
      <c r="Y96" s="189">
        <f t="shared" ref="Y96:AF96" si="106">+Y124/5*4</f>
        <v>19880</v>
      </c>
      <c r="Z96" s="189">
        <f t="shared" si="106"/>
        <v>22720</v>
      </c>
      <c r="AA96" s="189">
        <f t="shared" si="106"/>
        <v>25560</v>
      </c>
      <c r="AB96" s="189">
        <f t="shared" si="106"/>
        <v>28360</v>
      </c>
      <c r="AC96" s="189">
        <f t="shared" si="106"/>
        <v>30640</v>
      </c>
      <c r="AD96" s="189">
        <f t="shared" si="106"/>
        <v>32920</v>
      </c>
      <c r="AE96" s="189">
        <f t="shared" si="106"/>
        <v>35200</v>
      </c>
      <c r="AF96" s="189">
        <f t="shared" si="106"/>
        <v>37440</v>
      </c>
      <c r="AG96" s="6"/>
      <c r="AH96" s="6"/>
      <c r="AI96" s="189">
        <f t="shared" ref="AI96:AP96" si="107">+AI124/5*4</f>
        <v>0</v>
      </c>
      <c r="AJ96" s="189">
        <f t="shared" si="107"/>
        <v>0</v>
      </c>
      <c r="AK96" s="189">
        <f t="shared" si="107"/>
        <v>0</v>
      </c>
      <c r="AL96" s="189">
        <f t="shared" si="107"/>
        <v>0</v>
      </c>
      <c r="AM96" s="189">
        <f t="shared" si="107"/>
        <v>0</v>
      </c>
      <c r="AN96" s="189">
        <f t="shared" si="107"/>
        <v>0</v>
      </c>
      <c r="AO96" s="189">
        <f t="shared" si="107"/>
        <v>0</v>
      </c>
      <c r="AP96" s="189">
        <f t="shared" si="107"/>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1</v>
      </c>
      <c r="C97" s="89">
        <f t="shared" si="96"/>
        <v>1</v>
      </c>
      <c r="D97" s="6"/>
      <c r="E97" s="287">
        <f t="shared" ref="E97:L97" si="108">+MAX(E96,E98)</f>
        <v>20160</v>
      </c>
      <c r="F97" s="287">
        <f t="shared" si="108"/>
        <v>23040</v>
      </c>
      <c r="G97" s="287">
        <f t="shared" si="108"/>
        <v>25920</v>
      </c>
      <c r="H97" s="287">
        <f t="shared" si="108"/>
        <v>28760</v>
      </c>
      <c r="I97" s="287">
        <f t="shared" si="108"/>
        <v>31080</v>
      </c>
      <c r="J97" s="287">
        <f t="shared" si="108"/>
        <v>33400</v>
      </c>
      <c r="K97" s="287">
        <f t="shared" si="108"/>
        <v>35680</v>
      </c>
      <c r="L97" s="287">
        <f t="shared" si="108"/>
        <v>38000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1</v>
      </c>
      <c r="C98" s="89">
        <f t="shared" si="96"/>
        <v>1</v>
      </c>
      <c r="D98" s="6"/>
      <c r="E98" s="286">
        <f t="shared" ref="E98:L98" si="109">+MAX(P98,Y98,AI98)</f>
        <v>20160</v>
      </c>
      <c r="F98" s="286">
        <f t="shared" si="109"/>
        <v>23040</v>
      </c>
      <c r="G98" s="286">
        <f t="shared" si="109"/>
        <v>25920</v>
      </c>
      <c r="H98" s="286">
        <f t="shared" si="109"/>
        <v>28760</v>
      </c>
      <c r="I98" s="286">
        <f t="shared" si="109"/>
        <v>31080</v>
      </c>
      <c r="J98" s="286">
        <f t="shared" si="109"/>
        <v>33400</v>
      </c>
      <c r="K98" s="286">
        <f t="shared" si="109"/>
        <v>35680</v>
      </c>
      <c r="L98" s="286">
        <f t="shared" si="109"/>
        <v>38000</v>
      </c>
      <c r="M98" s="6"/>
      <c r="N98" s="163" t="s">
        <v>2105</v>
      </c>
      <c r="O98" s="6"/>
      <c r="P98" s="189">
        <f t="shared" ref="P98:W98" si="110">+P126/5*4</f>
        <v>19640</v>
      </c>
      <c r="Q98" s="189">
        <f t="shared" si="110"/>
        <v>22440</v>
      </c>
      <c r="R98" s="189">
        <f t="shared" si="110"/>
        <v>25240</v>
      </c>
      <c r="S98" s="189">
        <f t="shared" si="110"/>
        <v>28040</v>
      </c>
      <c r="T98" s="189">
        <f t="shared" si="110"/>
        <v>30320</v>
      </c>
      <c r="U98" s="189">
        <f t="shared" si="110"/>
        <v>32560</v>
      </c>
      <c r="V98" s="189">
        <f t="shared" si="110"/>
        <v>34800</v>
      </c>
      <c r="W98" s="189">
        <f t="shared" si="110"/>
        <v>37040</v>
      </c>
      <c r="X98" s="6"/>
      <c r="Y98" s="189">
        <f t="shared" ref="Y98:AF98" si="111">+Y126/5*4</f>
        <v>20160</v>
      </c>
      <c r="Z98" s="189">
        <f t="shared" si="111"/>
        <v>23040</v>
      </c>
      <c r="AA98" s="189">
        <f t="shared" si="111"/>
        <v>25920</v>
      </c>
      <c r="AB98" s="189">
        <f t="shared" si="111"/>
        <v>28760</v>
      </c>
      <c r="AC98" s="189">
        <f t="shared" si="111"/>
        <v>31080</v>
      </c>
      <c r="AD98" s="189">
        <f t="shared" si="111"/>
        <v>33400</v>
      </c>
      <c r="AE98" s="189">
        <f t="shared" si="111"/>
        <v>35680</v>
      </c>
      <c r="AF98" s="189">
        <f t="shared" si="111"/>
        <v>38000</v>
      </c>
      <c r="AG98" s="6"/>
      <c r="AH98" s="6"/>
      <c r="AI98" s="189">
        <f t="shared" ref="AI98:AP98" si="112">+AI126/5*4</f>
        <v>0</v>
      </c>
      <c r="AJ98" s="189">
        <f t="shared" si="112"/>
        <v>0</v>
      </c>
      <c r="AK98" s="189">
        <f t="shared" si="112"/>
        <v>0</v>
      </c>
      <c r="AL98" s="189">
        <f t="shared" si="112"/>
        <v>0</v>
      </c>
      <c r="AM98" s="189">
        <f t="shared" si="112"/>
        <v>0</v>
      </c>
      <c r="AN98" s="189">
        <f t="shared" si="112"/>
        <v>0</v>
      </c>
      <c r="AO98" s="189">
        <f t="shared" si="112"/>
        <v>0</v>
      </c>
      <c r="AP98" s="189">
        <f t="shared" si="112"/>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1</v>
      </c>
      <c r="C99" s="89">
        <f t="shared" si="96"/>
        <v>1</v>
      </c>
      <c r="E99" s="287">
        <f t="shared" ref="E99:L99" si="113">+MAX(E98,E100)</f>
        <v>20160</v>
      </c>
      <c r="F99" s="287">
        <f t="shared" si="113"/>
        <v>23040</v>
      </c>
      <c r="G99" s="287">
        <f t="shared" si="113"/>
        <v>25920</v>
      </c>
      <c r="H99" s="287">
        <f t="shared" si="113"/>
        <v>28760</v>
      </c>
      <c r="I99" s="287">
        <f t="shared" si="113"/>
        <v>31080</v>
      </c>
      <c r="J99" s="287">
        <f t="shared" si="113"/>
        <v>33400</v>
      </c>
      <c r="K99" s="287">
        <f t="shared" si="113"/>
        <v>35680</v>
      </c>
      <c r="L99" s="287">
        <f t="shared" si="113"/>
        <v>38000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3175</v>
      </c>
      <c r="BI99" s="6" t="e">
        <f t="shared" ref="BI99:BI104" si="114">+MATCH(BE$10:BE$558,AZ$10:AZ$551,0)</f>
        <v>#N/A</v>
      </c>
    </row>
    <row r="100" spans="1:61" hidden="1">
      <c r="A100" s="89">
        <f t="shared" si="95"/>
        <v>0</v>
      </c>
      <c r="B100" s="89">
        <f t="shared" si="98"/>
        <v>1</v>
      </c>
      <c r="C100" s="89">
        <f t="shared" si="96"/>
        <v>1</v>
      </c>
      <c r="E100" s="286">
        <f t="shared" ref="E100:L100" si="115">+MAX(P100,Y100,AI100)</f>
        <v>20160</v>
      </c>
      <c r="F100" s="286">
        <f t="shared" si="115"/>
        <v>23040</v>
      </c>
      <c r="G100" s="286">
        <f t="shared" si="115"/>
        <v>25920</v>
      </c>
      <c r="H100" s="286">
        <f t="shared" si="115"/>
        <v>28760</v>
      </c>
      <c r="I100" s="286">
        <f t="shared" si="115"/>
        <v>31080</v>
      </c>
      <c r="J100" s="286">
        <f t="shared" si="115"/>
        <v>33400</v>
      </c>
      <c r="K100" s="286">
        <f t="shared" si="115"/>
        <v>35680</v>
      </c>
      <c r="L100" s="286">
        <f t="shared" si="115"/>
        <v>38000</v>
      </c>
      <c r="N100" s="163" t="s">
        <v>2123</v>
      </c>
      <c r="P100" s="189">
        <f t="shared" ref="P100:W100" si="116">+P128/5*4</f>
        <v>18920</v>
      </c>
      <c r="Q100" s="189">
        <f t="shared" si="116"/>
        <v>21600</v>
      </c>
      <c r="R100" s="189">
        <f t="shared" si="116"/>
        <v>24320</v>
      </c>
      <c r="S100" s="189">
        <f t="shared" si="116"/>
        <v>27000</v>
      </c>
      <c r="T100" s="189">
        <f t="shared" si="116"/>
        <v>29160</v>
      </c>
      <c r="U100" s="189">
        <f t="shared" si="116"/>
        <v>31320</v>
      </c>
      <c r="V100" s="189">
        <f t="shared" si="116"/>
        <v>33480</v>
      </c>
      <c r="W100" s="189">
        <f t="shared" si="116"/>
        <v>35640</v>
      </c>
      <c r="Y100" s="189">
        <f t="shared" ref="Y100:AF100" si="117">+Y128/5*4</f>
        <v>20160</v>
      </c>
      <c r="Z100" s="189">
        <f t="shared" si="117"/>
        <v>23040</v>
      </c>
      <c r="AA100" s="189">
        <f t="shared" si="117"/>
        <v>25920</v>
      </c>
      <c r="AB100" s="189">
        <f t="shared" si="117"/>
        <v>28760</v>
      </c>
      <c r="AC100" s="189">
        <f t="shared" si="117"/>
        <v>31080</v>
      </c>
      <c r="AD100" s="189">
        <f t="shared" si="117"/>
        <v>33400</v>
      </c>
      <c r="AE100" s="189">
        <f t="shared" si="117"/>
        <v>35680</v>
      </c>
      <c r="AF100" s="189">
        <f t="shared" si="117"/>
        <v>38000</v>
      </c>
      <c r="AI100" s="189">
        <f t="shared" ref="AI100:AP100" si="118">+AI128*0.8</f>
        <v>0</v>
      </c>
      <c r="AJ100" s="189">
        <f t="shared" si="118"/>
        <v>0</v>
      </c>
      <c r="AK100" s="189">
        <f t="shared" si="118"/>
        <v>0</v>
      </c>
      <c r="AL100" s="189">
        <f t="shared" si="118"/>
        <v>0</v>
      </c>
      <c r="AM100" s="189">
        <f t="shared" si="118"/>
        <v>0</v>
      </c>
      <c r="AN100" s="189">
        <f t="shared" si="118"/>
        <v>0</v>
      </c>
      <c r="AO100" s="189">
        <f t="shared" si="118"/>
        <v>0</v>
      </c>
      <c r="AP100" s="189">
        <f t="shared" si="118"/>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1</v>
      </c>
      <c r="C101" s="183">
        <f t="shared" si="96"/>
        <v>1</v>
      </c>
      <c r="E101" s="287">
        <f t="shared" ref="E101:L101" si="119">+MAX(E100,E102)</f>
        <v>20160</v>
      </c>
      <c r="F101" s="287">
        <f t="shared" si="119"/>
        <v>23040</v>
      </c>
      <c r="G101" s="287">
        <f t="shared" si="119"/>
        <v>25920</v>
      </c>
      <c r="H101" s="287">
        <f t="shared" si="119"/>
        <v>28760</v>
      </c>
      <c r="I101" s="287">
        <f t="shared" si="119"/>
        <v>31080</v>
      </c>
      <c r="J101" s="287">
        <f t="shared" si="119"/>
        <v>33400</v>
      </c>
      <c r="K101" s="287">
        <f t="shared" si="119"/>
        <v>35680</v>
      </c>
      <c r="L101" s="287">
        <f t="shared" si="119"/>
        <v>38000</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1</v>
      </c>
      <c r="C102" s="183">
        <f t="shared" si="96"/>
        <v>1</v>
      </c>
      <c r="E102" s="286">
        <f t="shared" ref="E102:L102" si="120">+MAX(P102,Y102,AI102)</f>
        <v>20160</v>
      </c>
      <c r="F102" s="286">
        <f t="shared" si="120"/>
        <v>23040</v>
      </c>
      <c r="G102" s="286">
        <f t="shared" si="120"/>
        <v>25920</v>
      </c>
      <c r="H102" s="286">
        <f t="shared" si="120"/>
        <v>28760</v>
      </c>
      <c r="I102" s="286">
        <f t="shared" si="120"/>
        <v>31080</v>
      </c>
      <c r="J102" s="286">
        <f t="shared" si="120"/>
        <v>33400</v>
      </c>
      <c r="K102" s="286">
        <f t="shared" si="120"/>
        <v>35680</v>
      </c>
      <c r="L102" s="286">
        <f t="shared" si="120"/>
        <v>38000</v>
      </c>
      <c r="N102" s="95" t="s">
        <v>2187</v>
      </c>
      <c r="P102" s="189">
        <f t="shared" ref="P102:W102" si="121">+P130/5*4</f>
        <v>19040</v>
      </c>
      <c r="Q102" s="189">
        <f t="shared" si="121"/>
        <v>21760</v>
      </c>
      <c r="R102" s="189">
        <f t="shared" si="121"/>
        <v>24480</v>
      </c>
      <c r="S102" s="189">
        <f t="shared" si="121"/>
        <v>27160</v>
      </c>
      <c r="T102" s="189">
        <f t="shared" si="121"/>
        <v>29360</v>
      </c>
      <c r="U102" s="189">
        <f t="shared" si="121"/>
        <v>31520</v>
      </c>
      <c r="V102" s="189">
        <f t="shared" si="121"/>
        <v>33680</v>
      </c>
      <c r="W102" s="189">
        <f t="shared" si="121"/>
        <v>35880</v>
      </c>
      <c r="Y102" s="189">
        <f t="shared" ref="Y102:AF102" si="122">+Y130/5*4</f>
        <v>20160</v>
      </c>
      <c r="Z102" s="189">
        <f t="shared" si="122"/>
        <v>23040</v>
      </c>
      <c r="AA102" s="189">
        <f t="shared" si="122"/>
        <v>25920</v>
      </c>
      <c r="AB102" s="189">
        <f t="shared" si="122"/>
        <v>28760</v>
      </c>
      <c r="AC102" s="189">
        <f t="shared" si="122"/>
        <v>31080</v>
      </c>
      <c r="AD102" s="189">
        <f t="shared" si="122"/>
        <v>33400</v>
      </c>
      <c r="AE102" s="189">
        <f t="shared" si="122"/>
        <v>35680</v>
      </c>
      <c r="AF102" s="189">
        <f t="shared" si="122"/>
        <v>38000</v>
      </c>
      <c r="AI102" s="189">
        <f t="shared" ref="AI102:AP102" si="123">+AI130*0.8</f>
        <v>0</v>
      </c>
      <c r="AJ102" s="189">
        <f t="shared" si="123"/>
        <v>0</v>
      </c>
      <c r="AK102" s="189">
        <f t="shared" si="123"/>
        <v>0</v>
      </c>
      <c r="AL102" s="189">
        <f t="shared" si="123"/>
        <v>0</v>
      </c>
      <c r="AM102" s="189">
        <f t="shared" si="123"/>
        <v>0</v>
      </c>
      <c r="AN102" s="189">
        <f t="shared" si="123"/>
        <v>0</v>
      </c>
      <c r="AO102" s="189">
        <f t="shared" si="123"/>
        <v>0</v>
      </c>
      <c r="AP102" s="189">
        <f t="shared" si="123"/>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1</v>
      </c>
      <c r="C103" s="183">
        <f t="shared" si="96"/>
        <v>1</v>
      </c>
      <c r="E103" s="287">
        <f>+MAX(E102,E104)</f>
        <v>20240</v>
      </c>
      <c r="F103" s="287">
        <f t="shared" ref="F103:L103" si="124">+MAX(F102,F104)</f>
        <v>23120</v>
      </c>
      <c r="G103" s="287">
        <f t="shared" si="124"/>
        <v>26000</v>
      </c>
      <c r="H103" s="287">
        <f t="shared" si="124"/>
        <v>28880</v>
      </c>
      <c r="I103" s="287">
        <f t="shared" si="124"/>
        <v>31200</v>
      </c>
      <c r="J103" s="287">
        <f t="shared" si="124"/>
        <v>33520</v>
      </c>
      <c r="K103" s="287">
        <f t="shared" si="124"/>
        <v>35840</v>
      </c>
      <c r="L103" s="287">
        <f t="shared" si="124"/>
        <v>38160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1</v>
      </c>
      <c r="C104" s="183">
        <f t="shared" si="96"/>
        <v>1</v>
      </c>
      <c r="E104" s="288">
        <f t="shared" ref="E104:L104" si="125">+MAX(P104,Y104,AI104)</f>
        <v>20240</v>
      </c>
      <c r="F104" s="288">
        <f t="shared" si="125"/>
        <v>23120</v>
      </c>
      <c r="G104" s="288">
        <f t="shared" si="125"/>
        <v>26000</v>
      </c>
      <c r="H104" s="288">
        <f t="shared" si="125"/>
        <v>28880</v>
      </c>
      <c r="I104" s="288">
        <f t="shared" si="125"/>
        <v>31200</v>
      </c>
      <c r="J104" s="288">
        <f t="shared" si="125"/>
        <v>33520</v>
      </c>
      <c r="K104" s="288">
        <f t="shared" si="125"/>
        <v>35840</v>
      </c>
      <c r="L104" s="288">
        <f t="shared" si="125"/>
        <v>38160</v>
      </c>
      <c r="N104" s="95" t="s">
        <v>2226</v>
      </c>
      <c r="P104" s="189">
        <f t="shared" ref="P104:W104" si="126">+P132/5*4</f>
        <v>19720</v>
      </c>
      <c r="Q104" s="189">
        <f t="shared" si="126"/>
        <v>22560</v>
      </c>
      <c r="R104" s="189">
        <f t="shared" si="126"/>
        <v>25360</v>
      </c>
      <c r="S104" s="189">
        <f t="shared" si="126"/>
        <v>28160</v>
      </c>
      <c r="T104" s="189">
        <f t="shared" si="126"/>
        <v>30440</v>
      </c>
      <c r="U104" s="189">
        <f t="shared" si="126"/>
        <v>32680</v>
      </c>
      <c r="V104" s="189">
        <f t="shared" si="126"/>
        <v>34920</v>
      </c>
      <c r="W104" s="189">
        <f t="shared" si="126"/>
        <v>37200</v>
      </c>
      <c r="Y104" s="189">
        <f t="shared" ref="Y104:AF104" si="127">+Y132/5*4</f>
        <v>20240</v>
      </c>
      <c r="Z104" s="189">
        <f t="shared" si="127"/>
        <v>23120</v>
      </c>
      <c r="AA104" s="189">
        <f t="shared" si="127"/>
        <v>26000</v>
      </c>
      <c r="AB104" s="189">
        <f t="shared" si="127"/>
        <v>28880</v>
      </c>
      <c r="AC104" s="189">
        <f t="shared" si="127"/>
        <v>31200</v>
      </c>
      <c r="AD104" s="189">
        <f t="shared" si="127"/>
        <v>33520</v>
      </c>
      <c r="AE104" s="189">
        <f t="shared" si="127"/>
        <v>35840</v>
      </c>
      <c r="AF104" s="189">
        <f t="shared" si="127"/>
        <v>38160</v>
      </c>
      <c r="AI104" s="189">
        <f t="shared" ref="AI104:AP104" si="128">+AI132*0.8</f>
        <v>0</v>
      </c>
      <c r="AJ104" s="189">
        <f t="shared" si="128"/>
        <v>0</v>
      </c>
      <c r="AK104" s="189">
        <f t="shared" si="128"/>
        <v>0</v>
      </c>
      <c r="AL104" s="189">
        <f t="shared" si="128"/>
        <v>0</v>
      </c>
      <c r="AM104" s="189">
        <f t="shared" si="128"/>
        <v>0</v>
      </c>
      <c r="AN104" s="189">
        <f t="shared" si="128"/>
        <v>0</v>
      </c>
      <c r="AO104" s="189">
        <f t="shared" si="128"/>
        <v>0</v>
      </c>
      <c r="AP104" s="189">
        <f t="shared" si="128"/>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1</v>
      </c>
      <c r="C105" s="183">
        <f t="shared" si="96"/>
        <v>1</v>
      </c>
      <c r="E105" s="287">
        <f>+MAX(E104,E106)</f>
        <v>20640</v>
      </c>
      <c r="F105" s="287">
        <f t="shared" ref="F105:L105" si="129">+MAX(F104,F106)</f>
        <v>23560</v>
      </c>
      <c r="G105" s="287">
        <f t="shared" si="129"/>
        <v>26520</v>
      </c>
      <c r="H105" s="287">
        <f t="shared" si="129"/>
        <v>29440</v>
      </c>
      <c r="I105" s="287">
        <f t="shared" si="129"/>
        <v>31800</v>
      </c>
      <c r="J105" s="287">
        <f t="shared" si="129"/>
        <v>34160</v>
      </c>
      <c r="K105" s="287">
        <f t="shared" si="129"/>
        <v>36520</v>
      </c>
      <c r="L105" s="287">
        <f t="shared" si="129"/>
        <v>38880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1</v>
      </c>
      <c r="C106" s="183">
        <f t="shared" si="96"/>
        <v>1</v>
      </c>
      <c r="E106" s="288">
        <f t="shared" ref="E106:L106" si="130">+MAX(P106,Y106,AI106)</f>
        <v>20640</v>
      </c>
      <c r="F106" s="288">
        <f t="shared" si="130"/>
        <v>23560</v>
      </c>
      <c r="G106" s="288">
        <f t="shared" si="130"/>
        <v>26520</v>
      </c>
      <c r="H106" s="288">
        <f t="shared" si="130"/>
        <v>29440</v>
      </c>
      <c r="I106" s="288">
        <f t="shared" si="130"/>
        <v>31800</v>
      </c>
      <c r="J106" s="288">
        <f t="shared" si="130"/>
        <v>34160</v>
      </c>
      <c r="K106" s="288">
        <f t="shared" si="130"/>
        <v>36520</v>
      </c>
      <c r="L106" s="288">
        <f t="shared" si="130"/>
        <v>38880</v>
      </c>
      <c r="N106" s="95" t="s">
        <v>2266</v>
      </c>
      <c r="P106" s="189">
        <f t="shared" ref="P106:W106" si="131">+P134*0.8</f>
        <v>20080</v>
      </c>
      <c r="Q106" s="189">
        <f t="shared" si="131"/>
        <v>22960</v>
      </c>
      <c r="R106" s="189">
        <f t="shared" si="131"/>
        <v>25840</v>
      </c>
      <c r="S106" s="189">
        <f t="shared" si="131"/>
        <v>28680</v>
      </c>
      <c r="T106" s="189">
        <f t="shared" si="131"/>
        <v>31000</v>
      </c>
      <c r="U106" s="189">
        <f t="shared" si="131"/>
        <v>33280</v>
      </c>
      <c r="V106" s="189">
        <f t="shared" si="131"/>
        <v>35600</v>
      </c>
      <c r="W106" s="189">
        <f t="shared" si="131"/>
        <v>37880</v>
      </c>
      <c r="Y106" s="189">
        <f t="shared" ref="Y106:AF106" si="132">+Y134*0.8</f>
        <v>20640</v>
      </c>
      <c r="Z106" s="189">
        <f t="shared" si="132"/>
        <v>23560</v>
      </c>
      <c r="AA106" s="189">
        <f t="shared" si="132"/>
        <v>26520</v>
      </c>
      <c r="AB106" s="189">
        <f t="shared" si="132"/>
        <v>29440</v>
      </c>
      <c r="AC106" s="189">
        <f t="shared" si="132"/>
        <v>31800</v>
      </c>
      <c r="AD106" s="189">
        <f t="shared" si="132"/>
        <v>34160</v>
      </c>
      <c r="AE106" s="189">
        <f t="shared" si="132"/>
        <v>36520</v>
      </c>
      <c r="AF106" s="189">
        <f t="shared" si="132"/>
        <v>38880</v>
      </c>
      <c r="AI106" s="189">
        <f t="shared" ref="AI106:AP106" si="133">+AI134*0.8</f>
        <v>0</v>
      </c>
      <c r="AJ106" s="189">
        <f t="shared" si="133"/>
        <v>0</v>
      </c>
      <c r="AK106" s="189">
        <f t="shared" si="133"/>
        <v>0</v>
      </c>
      <c r="AL106" s="189">
        <f t="shared" si="133"/>
        <v>0</v>
      </c>
      <c r="AM106" s="189">
        <f t="shared" si="133"/>
        <v>0</v>
      </c>
      <c r="AN106" s="189">
        <f t="shared" si="133"/>
        <v>0</v>
      </c>
      <c r="AO106" s="189">
        <f t="shared" si="133"/>
        <v>0</v>
      </c>
      <c r="AP106" s="189">
        <f t="shared" si="133"/>
        <v>0</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1</v>
      </c>
      <c r="C107" s="183">
        <f t="shared" si="96"/>
        <v>1</v>
      </c>
      <c r="D107" s="202"/>
      <c r="E107" s="287">
        <f>+MAX(E106,E108)</f>
        <v>21120</v>
      </c>
      <c r="F107" s="287">
        <f t="shared" ref="F107:L109" si="134">+MAX(F106,F108)</f>
        <v>24120</v>
      </c>
      <c r="G107" s="287">
        <f t="shared" si="134"/>
        <v>27120</v>
      </c>
      <c r="H107" s="287">
        <f t="shared" si="134"/>
        <v>30120</v>
      </c>
      <c r="I107" s="287">
        <f t="shared" si="134"/>
        <v>32560</v>
      </c>
      <c r="J107" s="287">
        <f t="shared" si="134"/>
        <v>34960</v>
      </c>
      <c r="K107" s="287">
        <f t="shared" si="134"/>
        <v>37360</v>
      </c>
      <c r="L107" s="287">
        <f t="shared" si="134"/>
        <v>39760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1</v>
      </c>
      <c r="C108" s="183">
        <f t="shared" si="96"/>
        <v>1</v>
      </c>
      <c r="D108" s="202"/>
      <c r="E108" s="289">
        <f t="shared" ref="E108:L108" si="136">+MAX(P108,Y108,AI108)</f>
        <v>21120</v>
      </c>
      <c r="F108" s="289">
        <f t="shared" si="136"/>
        <v>24120</v>
      </c>
      <c r="G108" s="289">
        <f t="shared" si="136"/>
        <v>27120</v>
      </c>
      <c r="H108" s="289">
        <f t="shared" si="136"/>
        <v>30120</v>
      </c>
      <c r="I108" s="289">
        <f t="shared" si="136"/>
        <v>32560</v>
      </c>
      <c r="J108" s="289">
        <f t="shared" si="136"/>
        <v>34960</v>
      </c>
      <c r="K108" s="289">
        <f t="shared" si="136"/>
        <v>37360</v>
      </c>
      <c r="L108" s="289">
        <f t="shared" si="136"/>
        <v>39760</v>
      </c>
      <c r="M108" s="202"/>
      <c r="N108" s="213" t="s">
        <v>2379</v>
      </c>
      <c r="O108" s="202"/>
      <c r="P108" s="192">
        <f t="shared" ref="P108:W108" si="137">+P136*0.8</f>
        <v>20560</v>
      </c>
      <c r="Q108" s="192">
        <f t="shared" si="137"/>
        <v>23520</v>
      </c>
      <c r="R108" s="192">
        <f t="shared" si="137"/>
        <v>26440</v>
      </c>
      <c r="S108" s="192">
        <f t="shared" si="137"/>
        <v>29360</v>
      </c>
      <c r="T108" s="192">
        <f t="shared" si="137"/>
        <v>31720</v>
      </c>
      <c r="U108" s="192">
        <f t="shared" si="137"/>
        <v>34080</v>
      </c>
      <c r="V108" s="192">
        <f t="shared" si="137"/>
        <v>36440</v>
      </c>
      <c r="W108" s="192">
        <f t="shared" si="137"/>
        <v>38760</v>
      </c>
      <c r="X108" s="202"/>
      <c r="Y108" s="192">
        <f t="shared" ref="Y108:AF108" si="138">+Y136*0.8</f>
        <v>21120</v>
      </c>
      <c r="Z108" s="192">
        <f t="shared" si="138"/>
        <v>24120</v>
      </c>
      <c r="AA108" s="192">
        <f t="shared" si="138"/>
        <v>27120</v>
      </c>
      <c r="AB108" s="192">
        <f t="shared" si="138"/>
        <v>30120</v>
      </c>
      <c r="AC108" s="192">
        <f t="shared" si="138"/>
        <v>32560</v>
      </c>
      <c r="AD108" s="192">
        <f t="shared" si="138"/>
        <v>34960</v>
      </c>
      <c r="AE108" s="192">
        <f t="shared" si="138"/>
        <v>37360</v>
      </c>
      <c r="AF108" s="192">
        <f t="shared" si="138"/>
        <v>39760</v>
      </c>
      <c r="AG108" s="202"/>
      <c r="AH108" s="202"/>
      <c r="AI108" s="192">
        <f t="shared" ref="AI108:AP108" si="139">+AI136*0.8</f>
        <v>0</v>
      </c>
      <c r="AJ108" s="192">
        <f t="shared" si="139"/>
        <v>0</v>
      </c>
      <c r="AK108" s="192">
        <f t="shared" si="139"/>
        <v>0</v>
      </c>
      <c r="AL108" s="192">
        <f t="shared" si="139"/>
        <v>0</v>
      </c>
      <c r="AM108" s="192">
        <f t="shared" si="139"/>
        <v>0</v>
      </c>
      <c r="AN108" s="192">
        <f t="shared" si="139"/>
        <v>0</v>
      </c>
      <c r="AO108" s="192">
        <f t="shared" si="139"/>
        <v>0</v>
      </c>
      <c r="AP108" s="192">
        <f t="shared" si="139"/>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1</v>
      </c>
      <c r="C109" s="183">
        <f t="shared" si="96"/>
        <v>1</v>
      </c>
      <c r="D109" s="202"/>
      <c r="E109" s="287">
        <f>+MAX(E108,E110)</f>
        <v>22200</v>
      </c>
      <c r="F109" s="287">
        <f t="shared" si="134"/>
        <v>25360</v>
      </c>
      <c r="G109" s="287">
        <f t="shared" si="134"/>
        <v>28520</v>
      </c>
      <c r="H109" s="287">
        <f t="shared" si="134"/>
        <v>31680</v>
      </c>
      <c r="I109" s="287">
        <f t="shared" si="134"/>
        <v>34240</v>
      </c>
      <c r="J109" s="287">
        <f t="shared" si="134"/>
        <v>36760</v>
      </c>
      <c r="K109" s="287">
        <f t="shared" si="134"/>
        <v>39320</v>
      </c>
      <c r="L109" s="287">
        <f t="shared" si="134"/>
        <v>41840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1</v>
      </c>
      <c r="C110" s="183">
        <f t="shared" si="96"/>
        <v>1</v>
      </c>
      <c r="D110" s="202"/>
      <c r="E110" s="289">
        <f t="shared" ref="E110:L110" si="140">+MAX(P110,Y110,AI110)</f>
        <v>22200</v>
      </c>
      <c r="F110" s="289">
        <f t="shared" si="140"/>
        <v>25360</v>
      </c>
      <c r="G110" s="289">
        <f t="shared" si="140"/>
        <v>28520</v>
      </c>
      <c r="H110" s="289">
        <f t="shared" si="140"/>
        <v>31680</v>
      </c>
      <c r="I110" s="289">
        <f t="shared" si="140"/>
        <v>34240</v>
      </c>
      <c r="J110" s="289">
        <f t="shared" si="140"/>
        <v>36760</v>
      </c>
      <c r="K110" s="289">
        <f t="shared" si="140"/>
        <v>39320</v>
      </c>
      <c r="L110" s="289">
        <f t="shared" si="140"/>
        <v>41840</v>
      </c>
      <c r="M110" s="202"/>
      <c r="N110" s="213" t="s">
        <v>3078</v>
      </c>
      <c r="O110" s="202"/>
      <c r="P110" s="192">
        <f t="shared" ref="P110:W110" si="141">P138*0.8</f>
        <v>21640</v>
      </c>
      <c r="Q110" s="192">
        <f t="shared" si="141"/>
        <v>24720</v>
      </c>
      <c r="R110" s="192">
        <f t="shared" si="141"/>
        <v>27800</v>
      </c>
      <c r="S110" s="192">
        <f t="shared" si="141"/>
        <v>30880</v>
      </c>
      <c r="T110" s="192">
        <f t="shared" si="141"/>
        <v>33360</v>
      </c>
      <c r="U110" s="192">
        <f t="shared" si="141"/>
        <v>35840</v>
      </c>
      <c r="V110" s="192">
        <f t="shared" si="141"/>
        <v>38320</v>
      </c>
      <c r="W110" s="192">
        <f t="shared" si="141"/>
        <v>40800</v>
      </c>
      <c r="X110" s="202"/>
      <c r="Y110" s="192">
        <f t="shared" ref="Y110:AF110" si="142">+Y138*0.8</f>
        <v>22200</v>
      </c>
      <c r="Z110" s="192">
        <f t="shared" si="142"/>
        <v>25360</v>
      </c>
      <c r="AA110" s="192">
        <f t="shared" si="142"/>
        <v>28520</v>
      </c>
      <c r="AB110" s="192">
        <f t="shared" si="142"/>
        <v>31680</v>
      </c>
      <c r="AC110" s="192">
        <f t="shared" si="142"/>
        <v>34240</v>
      </c>
      <c r="AD110" s="192">
        <f t="shared" si="142"/>
        <v>36760</v>
      </c>
      <c r="AE110" s="192">
        <f t="shared" si="142"/>
        <v>39320</v>
      </c>
      <c r="AF110" s="192">
        <f t="shared" si="142"/>
        <v>41840</v>
      </c>
      <c r="AG110" s="202"/>
      <c r="AH110" s="202"/>
      <c r="AI110" s="192">
        <f t="shared" ref="AI110:AP110" si="143">+AI138*0.8</f>
        <v>0</v>
      </c>
      <c r="AJ110" s="192">
        <f t="shared" si="143"/>
        <v>0</v>
      </c>
      <c r="AK110" s="192">
        <f t="shared" si="143"/>
        <v>0</v>
      </c>
      <c r="AL110" s="192">
        <f t="shared" si="143"/>
        <v>0</v>
      </c>
      <c r="AM110" s="192">
        <f t="shared" si="143"/>
        <v>0</v>
      </c>
      <c r="AN110" s="192">
        <f t="shared" si="143"/>
        <v>0</v>
      </c>
      <c r="AO110" s="192">
        <f t="shared" si="143"/>
        <v>0</v>
      </c>
      <c r="AP110" s="192">
        <f t="shared" si="143"/>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1</v>
      </c>
      <c r="C111" s="183">
        <f t="shared" si="96"/>
        <v>1</v>
      </c>
      <c r="D111" s="202"/>
      <c r="E111" s="287">
        <f>+MAX(E110,E112)</f>
        <v>23920</v>
      </c>
      <c r="F111" s="287">
        <f t="shared" ref="F111:L111" si="144">+MAX(F110,F112)</f>
        <v>27320</v>
      </c>
      <c r="G111" s="287">
        <f t="shared" si="144"/>
        <v>30720</v>
      </c>
      <c r="H111" s="287">
        <f t="shared" si="144"/>
        <v>34120</v>
      </c>
      <c r="I111" s="287">
        <f t="shared" si="144"/>
        <v>36880</v>
      </c>
      <c r="J111" s="287">
        <f t="shared" si="144"/>
        <v>39600</v>
      </c>
      <c r="K111" s="287">
        <f t="shared" si="144"/>
        <v>42320</v>
      </c>
      <c r="L111" s="287">
        <f t="shared" si="144"/>
        <v>45040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1</v>
      </c>
      <c r="C112" s="296">
        <f t="shared" si="96"/>
        <v>1</v>
      </c>
      <c r="D112" s="202"/>
      <c r="E112" s="297">
        <f>+MAX(P112,Y112,AI112)</f>
        <v>23920</v>
      </c>
      <c r="F112" s="297">
        <f t="shared" ref="F112:L112" si="145">+MAX(Q112,Z112,AJ112)</f>
        <v>27320</v>
      </c>
      <c r="G112" s="297">
        <f t="shared" si="145"/>
        <v>30720</v>
      </c>
      <c r="H112" s="297">
        <f t="shared" si="145"/>
        <v>34120</v>
      </c>
      <c r="I112" s="297">
        <f t="shared" si="145"/>
        <v>36880</v>
      </c>
      <c r="J112" s="297">
        <f t="shared" si="145"/>
        <v>39600</v>
      </c>
      <c r="K112" s="297">
        <f t="shared" si="145"/>
        <v>42320</v>
      </c>
      <c r="L112" s="297">
        <f t="shared" si="145"/>
        <v>45040</v>
      </c>
      <c r="M112" s="202"/>
      <c r="N112" s="298" t="s">
        <v>3079</v>
      </c>
      <c r="O112" s="202"/>
      <c r="P112" s="299">
        <f t="shared" ref="P112:W112" si="146">P140*0.8</f>
        <v>23280</v>
      </c>
      <c r="Q112" s="299">
        <f t="shared" si="146"/>
        <v>26600</v>
      </c>
      <c r="R112" s="299">
        <f t="shared" si="146"/>
        <v>29920</v>
      </c>
      <c r="S112" s="299">
        <f t="shared" si="146"/>
        <v>33240</v>
      </c>
      <c r="T112" s="299">
        <f t="shared" si="146"/>
        <v>35920</v>
      </c>
      <c r="U112" s="299">
        <f t="shared" si="146"/>
        <v>38560</v>
      </c>
      <c r="V112" s="299">
        <f t="shared" si="146"/>
        <v>41240</v>
      </c>
      <c r="W112" s="299">
        <f t="shared" si="146"/>
        <v>43880</v>
      </c>
      <c r="X112" s="202"/>
      <c r="Y112" s="299">
        <f t="shared" ref="Y112:AF112" si="147">+Y140*0.8</f>
        <v>23920</v>
      </c>
      <c r="Z112" s="299">
        <f t="shared" si="147"/>
        <v>27320</v>
      </c>
      <c r="AA112" s="299">
        <f t="shared" si="147"/>
        <v>30720</v>
      </c>
      <c r="AB112" s="299">
        <f t="shared" si="147"/>
        <v>34120</v>
      </c>
      <c r="AC112" s="299">
        <f t="shared" si="147"/>
        <v>36880</v>
      </c>
      <c r="AD112" s="299">
        <f t="shared" si="147"/>
        <v>39600</v>
      </c>
      <c r="AE112" s="299">
        <f t="shared" si="147"/>
        <v>42320</v>
      </c>
      <c r="AF112" s="299">
        <f t="shared" si="147"/>
        <v>45040</v>
      </c>
      <c r="AG112" s="202"/>
      <c r="AH112" s="202"/>
      <c r="AI112" s="299">
        <f t="shared" ref="AI112:AP112" si="148">+AI140*0.8</f>
        <v>0</v>
      </c>
      <c r="AJ112" s="299">
        <f t="shared" si="148"/>
        <v>0</v>
      </c>
      <c r="AK112" s="299">
        <f t="shared" si="148"/>
        <v>0</v>
      </c>
      <c r="AL112" s="299">
        <f t="shared" si="148"/>
        <v>0</v>
      </c>
      <c r="AM112" s="299">
        <f t="shared" si="148"/>
        <v>0</v>
      </c>
      <c r="AN112" s="299">
        <f t="shared" si="148"/>
        <v>0</v>
      </c>
      <c r="AO112" s="299">
        <f t="shared" si="148"/>
        <v>0</v>
      </c>
      <c r="AP112" s="299">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1</v>
      </c>
      <c r="C113" s="183">
        <f t="shared" si="96"/>
        <v>1</v>
      </c>
      <c r="D113" s="202"/>
      <c r="E113" s="287">
        <f>+MAX(E112,E114)</f>
        <v>24800</v>
      </c>
      <c r="F113" s="287">
        <f t="shared" ref="F113:L113" si="149">+MAX(F112,F114)</f>
        <v>28320</v>
      </c>
      <c r="G113" s="287">
        <f t="shared" si="149"/>
        <v>31880</v>
      </c>
      <c r="H113" s="287">
        <f t="shared" si="149"/>
        <v>35400</v>
      </c>
      <c r="I113" s="287">
        <f t="shared" si="149"/>
        <v>38240</v>
      </c>
      <c r="J113" s="287">
        <f t="shared" si="149"/>
        <v>41080</v>
      </c>
      <c r="K113" s="287">
        <f t="shared" si="149"/>
        <v>43920</v>
      </c>
      <c r="L113" s="287">
        <f t="shared" si="149"/>
        <v>46760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1</v>
      </c>
      <c r="C114" s="296">
        <f t="shared" si="96"/>
        <v>1</v>
      </c>
      <c r="D114" s="202"/>
      <c r="E114" s="297">
        <f>+MAX(P114,Y114,AI114)</f>
        <v>24800</v>
      </c>
      <c r="F114" s="297">
        <f t="shared" ref="F114" si="150">+MAX(Q114,Z114,AJ114)</f>
        <v>28320</v>
      </c>
      <c r="G114" s="297">
        <f t="shared" ref="G114" si="151">+MAX(R114,AA114,AK114)</f>
        <v>31880</v>
      </c>
      <c r="H114" s="297">
        <f t="shared" ref="H114" si="152">+MAX(S114,AB114,AL114)</f>
        <v>35400</v>
      </c>
      <c r="I114" s="297">
        <f t="shared" ref="I114" si="153">+MAX(T114,AC114,AM114)</f>
        <v>38240</v>
      </c>
      <c r="J114" s="297">
        <f t="shared" ref="J114" si="154">+MAX(U114,AD114,AN114)</f>
        <v>41080</v>
      </c>
      <c r="K114" s="297">
        <f t="shared" ref="K114" si="155">+MAX(V114,AE114,AO114)</f>
        <v>43920</v>
      </c>
      <c r="L114" s="297">
        <f t="shared" ref="L114" si="156">+MAX(W114,AF114,AP114)</f>
        <v>46760</v>
      </c>
      <c r="M114" s="202"/>
      <c r="N114" s="321" t="s">
        <v>3192</v>
      </c>
      <c r="O114" s="202"/>
      <c r="P114" s="299">
        <f t="shared" ref="P114:W114" si="157">P142*0.8</f>
        <v>24160</v>
      </c>
      <c r="Q114" s="299">
        <f t="shared" si="157"/>
        <v>27600</v>
      </c>
      <c r="R114" s="299">
        <f t="shared" si="157"/>
        <v>31040</v>
      </c>
      <c r="S114" s="299">
        <f t="shared" si="157"/>
        <v>34480</v>
      </c>
      <c r="T114" s="299">
        <f t="shared" si="157"/>
        <v>37240</v>
      </c>
      <c r="U114" s="299">
        <f t="shared" si="157"/>
        <v>40000</v>
      </c>
      <c r="V114" s="299">
        <f t="shared" si="157"/>
        <v>42760</v>
      </c>
      <c r="W114" s="299">
        <f t="shared" si="157"/>
        <v>45520</v>
      </c>
      <c r="X114" s="202"/>
      <c r="Y114" s="299">
        <f t="shared" ref="Y114:AF114" si="158">+Y142*0.8</f>
        <v>24800</v>
      </c>
      <c r="Z114" s="299">
        <f t="shared" si="158"/>
        <v>28320</v>
      </c>
      <c r="AA114" s="299">
        <f t="shared" si="158"/>
        <v>31880</v>
      </c>
      <c r="AB114" s="299">
        <f t="shared" si="158"/>
        <v>35400</v>
      </c>
      <c r="AC114" s="299">
        <f t="shared" si="158"/>
        <v>38240</v>
      </c>
      <c r="AD114" s="299">
        <f t="shared" si="158"/>
        <v>41080</v>
      </c>
      <c r="AE114" s="299">
        <f t="shared" si="158"/>
        <v>43920</v>
      </c>
      <c r="AF114" s="299">
        <f t="shared" si="158"/>
        <v>46760</v>
      </c>
      <c r="AG114" s="202"/>
      <c r="AH114" s="202"/>
      <c r="AI114" s="299">
        <f t="shared" ref="AI114:AP114" si="159">+AI142*0.8</f>
        <v>0</v>
      </c>
      <c r="AJ114" s="299">
        <f t="shared" si="159"/>
        <v>0</v>
      </c>
      <c r="AK114" s="299">
        <f t="shared" si="159"/>
        <v>0</v>
      </c>
      <c r="AL114" s="299">
        <f t="shared" si="159"/>
        <v>0</v>
      </c>
      <c r="AM114" s="299">
        <f t="shared" si="159"/>
        <v>0</v>
      </c>
      <c r="AN114" s="299">
        <f t="shared" si="159"/>
        <v>0</v>
      </c>
      <c r="AO114" s="299">
        <f t="shared" si="159"/>
        <v>0</v>
      </c>
      <c r="AP114" s="299">
        <f t="shared" si="159"/>
        <v>0</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1</v>
      </c>
      <c r="C115" s="183">
        <f t="shared" si="96"/>
        <v>1</v>
      </c>
      <c r="D115" s="202"/>
      <c r="E115" s="287">
        <f>+MAX(E114,E116)</f>
        <v>25600</v>
      </c>
      <c r="F115" s="287">
        <f t="shared" ref="F115:L115" si="160">+MAX(F114,F116)</f>
        <v>29240</v>
      </c>
      <c r="G115" s="287">
        <f t="shared" si="160"/>
        <v>32880</v>
      </c>
      <c r="H115" s="287">
        <f t="shared" si="160"/>
        <v>36520</v>
      </c>
      <c r="I115" s="287">
        <f t="shared" si="160"/>
        <v>39480</v>
      </c>
      <c r="J115" s="287">
        <f t="shared" si="160"/>
        <v>42400</v>
      </c>
      <c r="K115" s="287">
        <f t="shared" si="160"/>
        <v>45320</v>
      </c>
      <c r="L115" s="287">
        <f t="shared" si="160"/>
        <v>48240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1</v>
      </c>
      <c r="C116" s="296">
        <f t="shared" si="96"/>
        <v>1</v>
      </c>
      <c r="D116" s="202"/>
      <c r="E116" s="297">
        <f>+MAX(P116,Y116,AI116)</f>
        <v>25600</v>
      </c>
      <c r="F116" s="297">
        <f t="shared" ref="F116" si="161">+MAX(Q116,Z116,AJ116)</f>
        <v>29240</v>
      </c>
      <c r="G116" s="297">
        <f t="shared" ref="G116" si="162">+MAX(R116,AA116,AK116)</f>
        <v>32880</v>
      </c>
      <c r="H116" s="297">
        <f t="shared" ref="H116" si="163">+MAX(S116,AB116,AL116)</f>
        <v>36520</v>
      </c>
      <c r="I116" s="297">
        <f t="shared" ref="I116" si="164">+MAX(T116,AC116,AM116)</f>
        <v>39480</v>
      </c>
      <c r="J116" s="297">
        <f t="shared" ref="J116" si="165">+MAX(U116,AD116,AN116)</f>
        <v>42400</v>
      </c>
      <c r="K116" s="297">
        <f t="shared" ref="K116" si="166">+MAX(V116,AE116,AO116)</f>
        <v>45320</v>
      </c>
      <c r="L116" s="297">
        <f t="shared" ref="L116" si="167">+MAX(W116,AF116,AP116)</f>
        <v>48240</v>
      </c>
      <c r="M116" s="202"/>
      <c r="N116" s="321" t="s">
        <v>3194</v>
      </c>
      <c r="O116" s="202"/>
      <c r="P116" s="299">
        <f t="shared" ref="P116:W116" si="168">P144*0.8</f>
        <v>24920</v>
      </c>
      <c r="Q116" s="299">
        <f t="shared" si="168"/>
        <v>28480</v>
      </c>
      <c r="R116" s="299">
        <f t="shared" si="168"/>
        <v>32040</v>
      </c>
      <c r="S116" s="299">
        <f t="shared" si="168"/>
        <v>35600</v>
      </c>
      <c r="T116" s="299">
        <f t="shared" si="168"/>
        <v>38480</v>
      </c>
      <c r="U116" s="299">
        <f t="shared" si="168"/>
        <v>41320</v>
      </c>
      <c r="V116" s="299">
        <f t="shared" si="168"/>
        <v>44160</v>
      </c>
      <c r="W116" s="299">
        <f t="shared" si="168"/>
        <v>47000</v>
      </c>
      <c r="X116" s="202"/>
      <c r="Y116" s="299">
        <f t="shared" ref="Y116:AF116" si="169">+Y144*0.8</f>
        <v>25600</v>
      </c>
      <c r="Z116" s="299">
        <f t="shared" si="169"/>
        <v>29240</v>
      </c>
      <c r="AA116" s="299">
        <f t="shared" si="169"/>
        <v>32880</v>
      </c>
      <c r="AB116" s="299">
        <f t="shared" si="169"/>
        <v>36520</v>
      </c>
      <c r="AC116" s="299">
        <f t="shared" si="169"/>
        <v>39480</v>
      </c>
      <c r="AD116" s="299">
        <f t="shared" si="169"/>
        <v>42400</v>
      </c>
      <c r="AE116" s="299">
        <f t="shared" si="169"/>
        <v>45320</v>
      </c>
      <c r="AF116" s="299">
        <f t="shared" si="169"/>
        <v>48240</v>
      </c>
      <c r="AG116" s="202"/>
      <c r="AH116" s="202"/>
      <c r="AI116" s="299">
        <f t="shared" ref="AI116:AP116" si="170">+AI144*0.8</f>
        <v>0</v>
      </c>
      <c r="AJ116" s="299">
        <f t="shared" si="170"/>
        <v>0</v>
      </c>
      <c r="AK116" s="299">
        <f t="shared" si="170"/>
        <v>0</v>
      </c>
      <c r="AL116" s="299">
        <f t="shared" si="170"/>
        <v>0</v>
      </c>
      <c r="AM116" s="299">
        <f t="shared" si="170"/>
        <v>0</v>
      </c>
      <c r="AN116" s="299">
        <f t="shared" si="170"/>
        <v>0</v>
      </c>
      <c r="AO116" s="299">
        <f t="shared" si="170"/>
        <v>0</v>
      </c>
      <c r="AP116" s="299">
        <f t="shared" si="170"/>
        <v>0</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71" t="s">
        <v>1412</v>
      </c>
      <c r="Q118" s="371"/>
      <c r="R118" s="371"/>
      <c r="S118" s="371"/>
      <c r="T118" s="371"/>
      <c r="U118" s="371"/>
      <c r="V118" s="371"/>
      <c r="W118" s="371"/>
      <c r="X118" s="6"/>
      <c r="Y118" s="389" t="s">
        <v>1413</v>
      </c>
      <c r="Z118" s="389"/>
      <c r="AA118" s="389"/>
      <c r="AB118" s="389"/>
      <c r="AC118" s="389"/>
      <c r="AD118" s="389"/>
      <c r="AE118" s="389"/>
      <c r="AF118" s="389"/>
      <c r="AG118" s="6"/>
      <c r="AH118" s="6"/>
      <c r="AI118" s="373" t="s">
        <v>1414</v>
      </c>
      <c r="AJ118" s="373"/>
      <c r="AK118" s="373"/>
      <c r="AL118" s="373"/>
      <c r="AM118" s="373"/>
      <c r="AN118" s="373"/>
      <c r="AO118" s="373"/>
      <c r="AP118" s="373"/>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1</v>
      </c>
      <c r="B119" s="183">
        <f>IF($B$18=$AU10,1,0)</f>
        <v>1</v>
      </c>
      <c r="C119" s="183">
        <f t="shared" ref="C119:C144" si="172">+IF((A63+B63)=2,1,A63+B63)</f>
        <v>1</v>
      </c>
      <c r="D119" s="6"/>
      <c r="E119" s="286">
        <f t="shared" ref="E119:L120" si="173">+MAX(P119,Y119,AI119)</f>
        <v>24550</v>
      </c>
      <c r="F119" s="286">
        <f t="shared" si="173"/>
        <v>28050</v>
      </c>
      <c r="G119" s="286">
        <f t="shared" si="173"/>
        <v>31550</v>
      </c>
      <c r="H119" s="286">
        <f t="shared" si="173"/>
        <v>35050</v>
      </c>
      <c r="I119" s="286">
        <f t="shared" si="173"/>
        <v>37850</v>
      </c>
      <c r="J119" s="286">
        <f t="shared" si="173"/>
        <v>40650</v>
      </c>
      <c r="K119" s="286">
        <f t="shared" si="173"/>
        <v>43450</v>
      </c>
      <c r="L119" s="286">
        <f t="shared" si="173"/>
        <v>46250</v>
      </c>
      <c r="M119" s="6"/>
      <c r="N119" s="91" t="str">
        <f>CONCATENATE($AU$10,$B$11,N118)</f>
        <v>Before 12-31-2008Kaufman50</v>
      </c>
      <c r="O119" s="6"/>
      <c r="P119" s="192">
        <f>VLOOKUP($N119,'pre 12-31-08'!$A$4:$L$1400,E$118+3,FALSE)</f>
        <v>24550</v>
      </c>
      <c r="Q119" s="192">
        <f>VLOOKUP($N119,'pre 12-31-08'!$A$4:$L$1400,F$118+3,FALSE)</f>
        <v>28050</v>
      </c>
      <c r="R119" s="192">
        <f>VLOOKUP($N119,'pre 12-31-08'!$A$4:$L$1400,G$118+3,FALSE)</f>
        <v>31550</v>
      </c>
      <c r="S119" s="192">
        <f>VLOOKUP($N119,'pre 12-31-08'!$A$4:$L$1400,H$118+3,FALSE)</f>
        <v>35050</v>
      </c>
      <c r="T119" s="192">
        <f>VLOOKUP($N119,'pre 12-31-08'!$A$4:$L$1400,I$118+3,FALSE)</f>
        <v>37850</v>
      </c>
      <c r="U119" s="192">
        <f>VLOOKUP($N119,'pre 12-31-08'!$A$4:$L$1400,J$118+3,FALSE)</f>
        <v>40650</v>
      </c>
      <c r="V119" s="192">
        <f>VLOOKUP($N119,'pre 12-31-08'!$A$4:$L$1400,K$118+3,FALSE)</f>
        <v>43450</v>
      </c>
      <c r="W119" s="192">
        <f>VLOOKUP($N119,'pre 12-31-08'!$A$4:$L$1400,L$118+3,FALSE)</f>
        <v>46250</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1</v>
      </c>
      <c r="C120" s="183">
        <f t="shared" si="172"/>
        <v>1</v>
      </c>
      <c r="D120" s="6"/>
      <c r="E120" s="286">
        <f t="shared" si="173"/>
        <v>23950</v>
      </c>
      <c r="F120" s="286">
        <f t="shared" si="173"/>
        <v>27350</v>
      </c>
      <c r="G120" s="286">
        <f t="shared" si="173"/>
        <v>30750</v>
      </c>
      <c r="H120" s="286">
        <f t="shared" si="173"/>
        <v>34150</v>
      </c>
      <c r="I120" s="286">
        <f t="shared" si="173"/>
        <v>36900</v>
      </c>
      <c r="J120" s="286">
        <f t="shared" si="173"/>
        <v>39650</v>
      </c>
      <c r="K120" s="286">
        <f t="shared" si="173"/>
        <v>42350</v>
      </c>
      <c r="L120" s="286">
        <f t="shared" si="173"/>
        <v>45100</v>
      </c>
      <c r="M120" s="6"/>
      <c r="N120" s="91" t="str">
        <f>CONCATENATE($AU$11,$B$11,N118)</f>
        <v>1/1/2009 - 5/13/2010Kaufman50</v>
      </c>
      <c r="O120" s="6"/>
      <c r="P120" s="192">
        <f>VLOOKUP($N120,'1-1-09-5-14-10'!$A$4:$L$1400,E$118+3,FALSE)</f>
        <v>23950</v>
      </c>
      <c r="Q120" s="192">
        <f>VLOOKUP($N120,'1-1-09-5-14-10'!$A$4:$L$1400,F$118+3,FALSE)</f>
        <v>27350</v>
      </c>
      <c r="R120" s="192">
        <f>VLOOKUP($N120,'1-1-09-5-14-10'!$A$4:$L$1400,G$118+3,FALSE)</f>
        <v>30750</v>
      </c>
      <c r="S120" s="192">
        <f>VLOOKUP($N120,'1-1-09-5-14-10'!$A$4:$L$1400,H$118+3,FALSE)</f>
        <v>34150</v>
      </c>
      <c r="T120" s="192">
        <f>VLOOKUP($N120,'1-1-09-5-14-10'!$A$4:$L$1400,I$118+3,FALSE)</f>
        <v>36900</v>
      </c>
      <c r="U120" s="192">
        <f>VLOOKUP($N120,'1-1-09-5-14-10'!$A$4:$L$1400,J$118+3,FALSE)</f>
        <v>39650</v>
      </c>
      <c r="V120" s="192">
        <f>VLOOKUP($N120,'1-1-09-5-14-10'!$A$4:$L$1400,K$118+3,FALSE)</f>
        <v>42350</v>
      </c>
      <c r="W120" s="192">
        <f>VLOOKUP($N120,'1-1-09-5-14-10'!$A$4:$L$1400,L$118+3,FALSE)</f>
        <v>45100</v>
      </c>
      <c r="X120" s="6"/>
      <c r="Y120" s="38"/>
      <c r="Z120" s="30"/>
      <c r="AA120" s="30"/>
      <c r="AB120" s="30"/>
      <c r="AC120" s="30"/>
      <c r="AD120" s="30"/>
      <c r="AE120" s="30"/>
      <c r="AF120" s="39"/>
      <c r="AG120" s="6"/>
      <c r="AH120" s="164" t="str">
        <f>IF(AND((IF(ISNA(VLOOKUP($B$13,$AW$10:$AW$556,1,FALSE)),0,VLOOKUP($B$13,$AW$10:$AW$556,1,FALSE)))=0,$AL$204&gt;$S$204,OR($B$16=$AS$11,$B$16=$AS$15)),"Yes","No")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1</v>
      </c>
      <c r="C121" s="183">
        <f t="shared" si="172"/>
        <v>1</v>
      </c>
      <c r="E121" s="287">
        <f t="shared" ref="E121:L121" si="175">+MAX(E120,E122)</f>
        <v>23950</v>
      </c>
      <c r="F121" s="287">
        <f t="shared" si="175"/>
        <v>27350</v>
      </c>
      <c r="G121" s="287">
        <f t="shared" si="175"/>
        <v>30750</v>
      </c>
      <c r="H121" s="287">
        <f t="shared" si="175"/>
        <v>34150</v>
      </c>
      <c r="I121" s="287">
        <f t="shared" si="175"/>
        <v>36900</v>
      </c>
      <c r="J121" s="287">
        <f t="shared" si="175"/>
        <v>39650</v>
      </c>
      <c r="K121" s="287">
        <f t="shared" si="175"/>
        <v>42350</v>
      </c>
      <c r="L121" s="287">
        <f t="shared" si="175"/>
        <v>45100</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1</v>
      </c>
      <c r="C122" s="183">
        <f t="shared" si="172"/>
        <v>1</v>
      </c>
      <c r="E122" s="286">
        <f t="shared" ref="E122:L122" si="176">+MAX(P122,Y122,AI122)</f>
        <v>23950</v>
      </c>
      <c r="F122" s="286">
        <f t="shared" si="176"/>
        <v>27350</v>
      </c>
      <c r="G122" s="286">
        <f t="shared" si="176"/>
        <v>30750</v>
      </c>
      <c r="H122" s="286">
        <f t="shared" si="176"/>
        <v>34150</v>
      </c>
      <c r="I122" s="286">
        <f t="shared" si="176"/>
        <v>36900</v>
      </c>
      <c r="J122" s="286">
        <f t="shared" si="176"/>
        <v>39650</v>
      </c>
      <c r="K122" s="286">
        <f t="shared" si="176"/>
        <v>42350</v>
      </c>
      <c r="L122" s="286">
        <f t="shared" si="176"/>
        <v>45100</v>
      </c>
      <c r="N122" s="91" t="str">
        <f>CONCATENATE($AU$13,$B$11,N118)</f>
        <v>6/29/2010 - 5/30/2011Kaufman50</v>
      </c>
      <c r="P122" s="192">
        <f>VLOOKUP($N122,'5-14-10-5-31-11'!$A$4:$L$1400,E$118+3,FALSE)</f>
        <v>23950</v>
      </c>
      <c r="Q122" s="192">
        <f>VLOOKUP($N122,'5-14-10-5-31-11'!$A$4:$L$1400,F$118+3,FALSE)</f>
        <v>27350</v>
      </c>
      <c r="R122" s="192">
        <f>VLOOKUP($N122,'5-14-10-5-31-11'!$A$4:$L$1400,G$118+3,FALSE)</f>
        <v>30750</v>
      </c>
      <c r="S122" s="192">
        <f>VLOOKUP($N122,'5-14-10-5-31-11'!$A$4:$L$1400,H$118+3,FALSE)</f>
        <v>34150</v>
      </c>
      <c r="T122" s="192">
        <f>VLOOKUP($N122,'5-14-10-5-31-11'!$A$4:$L$1400,I$118+3,FALSE)</f>
        <v>36900</v>
      </c>
      <c r="U122" s="192">
        <f>VLOOKUP($N122,'5-14-10-5-31-11'!$A$4:$L$1400,J$118+3,FALSE)</f>
        <v>39650</v>
      </c>
      <c r="V122" s="192">
        <f>VLOOKUP($N122,'5-14-10-5-31-11'!$A$4:$L$1400,K$118+3,FALSE)</f>
        <v>42350</v>
      </c>
      <c r="W122" s="192">
        <f>VLOOKUP($N122,'5-14-10-5-31-11'!$A$4:$L$1400,L$118+3,FALSE)</f>
        <v>45100</v>
      </c>
      <c r="Y122" s="38"/>
      <c r="Z122" s="30"/>
      <c r="AA122" s="30"/>
      <c r="AB122" s="30"/>
      <c r="AC122" s="30"/>
      <c r="AD122" s="30"/>
      <c r="AE122" s="30"/>
      <c r="AF122" s="39"/>
      <c r="AH122" s="164" t="str">
        <f>IF(AND((IF(ISNA(VLOOKUP($B$13,$AX$10:$AX$556,1,FALSE)),0,VLOOKUP($B$13,$AX$10:$AX$556,1,FALSE)))=0,AL206&gt;S206,OR($B$16=$AS$11,$B$16=$AS$15)),"Yes","No")</f>
        <v>No</v>
      </c>
      <c r="AI122" s="192">
        <f>IF($AH122="No",0,18050)</f>
        <v>0</v>
      </c>
      <c r="AJ122" s="192">
        <f>IF($AH122="No",0,20650)</f>
        <v>0</v>
      </c>
      <c r="AK122" s="192">
        <f>IF($AH122="No",0,23200)</f>
        <v>0</v>
      </c>
      <c r="AL122" s="192">
        <f>IF($AH122="No",0,25800)</f>
        <v>0</v>
      </c>
      <c r="AM122" s="192">
        <f>IF($AH122="No",0,27850)</f>
        <v>0</v>
      </c>
      <c r="AN122" s="192">
        <f>IF($AH122="No",0,29950)</f>
        <v>0</v>
      </c>
      <c r="AO122" s="192">
        <f>IF($AH122="No",0,32000)</f>
        <v>0</v>
      </c>
      <c r="AP122" s="192">
        <f>IF($AH122="No",0,34050)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1</v>
      </c>
      <c r="C123" s="183">
        <f t="shared" si="172"/>
        <v>1</v>
      </c>
      <c r="E123" s="287">
        <f t="shared" ref="E123:L123" si="177">+MAX(E122,E124)</f>
        <v>24850</v>
      </c>
      <c r="F123" s="287">
        <f t="shared" si="177"/>
        <v>28400</v>
      </c>
      <c r="G123" s="287">
        <f t="shared" si="177"/>
        <v>31950</v>
      </c>
      <c r="H123" s="287">
        <f t="shared" si="177"/>
        <v>35450</v>
      </c>
      <c r="I123" s="287">
        <f t="shared" si="177"/>
        <v>38300</v>
      </c>
      <c r="J123" s="287">
        <f t="shared" si="177"/>
        <v>41150</v>
      </c>
      <c r="K123" s="287">
        <f t="shared" si="177"/>
        <v>44000</v>
      </c>
      <c r="L123" s="287">
        <f t="shared" si="177"/>
        <v>46800</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1</v>
      </c>
      <c r="C124" s="183">
        <f t="shared" si="172"/>
        <v>1</v>
      </c>
      <c r="E124" s="286">
        <f t="shared" ref="E124:L124" si="178">+MAX(P124,Y124,AI124)</f>
        <v>24850</v>
      </c>
      <c r="F124" s="286">
        <f t="shared" si="178"/>
        <v>28400</v>
      </c>
      <c r="G124" s="286">
        <f t="shared" si="178"/>
        <v>31950</v>
      </c>
      <c r="H124" s="286">
        <f t="shared" si="178"/>
        <v>35450</v>
      </c>
      <c r="I124" s="286">
        <f t="shared" si="178"/>
        <v>38300</v>
      </c>
      <c r="J124" s="286">
        <f t="shared" si="178"/>
        <v>41150</v>
      </c>
      <c r="K124" s="286">
        <f t="shared" si="178"/>
        <v>44000</v>
      </c>
      <c r="L124" s="286">
        <f t="shared" si="178"/>
        <v>46800</v>
      </c>
      <c r="N124" s="91" t="str">
        <f>CONCATENATE(AU15,$B$11)</f>
        <v>7/16/2011 - 11/31/2011Kaufman</v>
      </c>
      <c r="P124" s="192">
        <f>VLOOKUP($N124,'6-1-11'!$A$4:$L$257,E$118+4,FALSE)</f>
        <v>24200</v>
      </c>
      <c r="Q124" s="192">
        <f>VLOOKUP($N124,'6-1-11'!$A$4:$L$257,F$118+4,FALSE)</f>
        <v>27650</v>
      </c>
      <c r="R124" s="192">
        <f>VLOOKUP($N124,'6-1-11'!$A$4:$L$257,G$118+4,FALSE)</f>
        <v>31100</v>
      </c>
      <c r="S124" s="192">
        <f>VLOOKUP($N124,'6-1-11'!$A$4:$L$257,H$118+4,FALSE)</f>
        <v>34550</v>
      </c>
      <c r="T124" s="192">
        <f>VLOOKUP($N124,'6-1-11'!$A$4:$L$257,I$118+4,FALSE)</f>
        <v>37350</v>
      </c>
      <c r="U124" s="192">
        <f>VLOOKUP($N124,'6-1-11'!$A$4:$L$257,J$118+4,FALSE)</f>
        <v>40100</v>
      </c>
      <c r="V124" s="192">
        <f>VLOOKUP($N124,'6-1-11'!$A$4:$L$257,K$118+4,FALSE)</f>
        <v>42850</v>
      </c>
      <c r="W124" s="192">
        <f>VLOOKUP($N124,'6-1-11'!$A$4:$L$257,L$118+4,FALSE)</f>
        <v>45650</v>
      </c>
      <c r="Y124" s="192">
        <f>IF($B$18=$AU$10,VLOOKUP($N124,'6-1-11'!$A$4:$AK$257,E$118+21,FALSE),0)</f>
        <v>24850</v>
      </c>
      <c r="Z124" s="192">
        <f>IF($B$18=$AU$10,VLOOKUP($N124,'6-1-11'!$A$4:$AK$257,F$118+21,FALSE),0)</f>
        <v>28400</v>
      </c>
      <c r="AA124" s="192">
        <f>IF($B$18=$AU$10,VLOOKUP($N124,'6-1-11'!$A$4:$AK$257,G$118+21,FALSE),0)</f>
        <v>31950</v>
      </c>
      <c r="AB124" s="192">
        <f>IF($B$18=$AU$10,VLOOKUP($N124,'6-1-11'!$A$4:$AK$257,H$118+21,FALSE),0)</f>
        <v>35450</v>
      </c>
      <c r="AC124" s="192">
        <f>IF($B$18=$AU$10,VLOOKUP($N124,'6-1-11'!$A$4:$AK$257,I$118+21,FALSE),0)</f>
        <v>38300</v>
      </c>
      <c r="AD124" s="192">
        <f>IF($B$18=$AU$10,VLOOKUP($N124,'6-1-11'!$A$4:$AK$257,J$118+21,FALSE),0)</f>
        <v>41150</v>
      </c>
      <c r="AE124" s="192">
        <f>IF($B$18=$AU$10,VLOOKUP($N124,'6-1-11'!$A$4:$AK$257,K$118+21,FALSE),0)</f>
        <v>44000</v>
      </c>
      <c r="AF124" s="192">
        <f>IF($B$18=$AU$10,VLOOKUP($N124,'6-1-11'!$A$4:$AK$257,L$118+21,FALSE),0)</f>
        <v>46800</v>
      </c>
      <c r="AH124" s="164" t="str">
        <f>IF(AND((IF(ISNA(VLOOKUP($B$13,$AY$10:$AY$556,1,FALSE)),0,VLOOKUP($B$13,$AY$10:$AY$556,1,FALSE)))=0,AL208&gt;S208,OR($B$16=$AS$11,$B$16=$AS$15)),"Yes","No")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1</v>
      </c>
      <c r="C125" s="183">
        <f t="shared" si="172"/>
        <v>1</v>
      </c>
      <c r="E125" s="287">
        <f t="shared" ref="E125:L125" si="179">+MAX(E124,E126)</f>
        <v>25200</v>
      </c>
      <c r="F125" s="287">
        <f t="shared" si="179"/>
        <v>28800</v>
      </c>
      <c r="G125" s="287">
        <f t="shared" si="179"/>
        <v>32400</v>
      </c>
      <c r="H125" s="287">
        <f t="shared" si="179"/>
        <v>35950</v>
      </c>
      <c r="I125" s="287">
        <f t="shared" si="179"/>
        <v>38850</v>
      </c>
      <c r="J125" s="287">
        <f t="shared" si="179"/>
        <v>41750</v>
      </c>
      <c r="K125" s="287">
        <f t="shared" si="179"/>
        <v>44600</v>
      </c>
      <c r="L125" s="287">
        <f t="shared" si="179"/>
        <v>47500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1</v>
      </c>
      <c r="C126" s="183">
        <f t="shared" si="172"/>
        <v>1</v>
      </c>
      <c r="E126" s="286">
        <f t="shared" ref="E126:L126" si="181">+MAX(P126,Y126,AI126)</f>
        <v>25200</v>
      </c>
      <c r="F126" s="286">
        <f t="shared" si="181"/>
        <v>28800</v>
      </c>
      <c r="G126" s="286">
        <f t="shared" si="181"/>
        <v>32400</v>
      </c>
      <c r="H126" s="286">
        <f t="shared" si="181"/>
        <v>35950</v>
      </c>
      <c r="I126" s="286">
        <f t="shared" si="181"/>
        <v>38850</v>
      </c>
      <c r="J126" s="286">
        <f t="shared" si="181"/>
        <v>41750</v>
      </c>
      <c r="K126" s="286">
        <f t="shared" si="181"/>
        <v>44600</v>
      </c>
      <c r="L126" s="286">
        <f t="shared" si="181"/>
        <v>47500</v>
      </c>
      <c r="N126" s="91" t="str">
        <f>CONCATENATE(AU17,$B$11)</f>
        <v>1/16/2012 - 12/3/2012Kaufman</v>
      </c>
      <c r="P126" s="192">
        <f>VLOOKUP($N126,'12-1-11'!$A$4:$L$257,E$118+4,FALSE)</f>
        <v>24550</v>
      </c>
      <c r="Q126" s="192">
        <f>VLOOKUP($N126,'12-1-11'!$A$4:$L$257,F$118+4,FALSE)</f>
        <v>28050</v>
      </c>
      <c r="R126" s="192">
        <f>VLOOKUP($N126,'12-1-11'!$A$4:$L$257,G$118+4,FALSE)</f>
        <v>31550</v>
      </c>
      <c r="S126" s="192">
        <f>VLOOKUP($N126,'12-1-11'!$A$4:$L$257,H$118+4,FALSE)</f>
        <v>35050</v>
      </c>
      <c r="T126" s="192">
        <f>VLOOKUP($N126,'12-1-11'!$A$4:$L$257,I$118+4,FALSE)</f>
        <v>37900</v>
      </c>
      <c r="U126" s="192">
        <f>VLOOKUP($N126,'12-1-11'!$A$4:$L$257,J$118+4,FALSE)</f>
        <v>40700</v>
      </c>
      <c r="V126" s="192">
        <f>VLOOKUP($N126,'12-1-11'!$A$4:$L$257,K$118+4,FALSE)</f>
        <v>43500</v>
      </c>
      <c r="W126" s="192">
        <f>VLOOKUP($N126,'12-1-11'!$A$4:$L$257,L$118+4,FALSE)</f>
        <v>46300</v>
      </c>
      <c r="Y126" s="192">
        <f>IF($B$18=$AU$10,VLOOKUP($N126,'12-1-11'!$A$4:$AK$257,E$118+21,FALSE),0)</f>
        <v>25200</v>
      </c>
      <c r="Z126" s="192">
        <f>IF($B$18=$AU$10,VLOOKUP($N126,'12-1-11'!$A$4:$AK$257,F$118+21,FALSE),0)</f>
        <v>28800</v>
      </c>
      <c r="AA126" s="192">
        <f>IF($B$18=$AU$10,VLOOKUP($N126,'12-1-11'!$A$4:$AK$257,G$118+21,FALSE),0)</f>
        <v>32400</v>
      </c>
      <c r="AB126" s="192">
        <f>IF($B$18=$AU$10,VLOOKUP($N126,'12-1-11'!$A$4:$AK$257,H$118+21,FALSE),0)</f>
        <v>35950</v>
      </c>
      <c r="AC126" s="192">
        <f>IF($B$18=$AU$10,VLOOKUP($N126,'12-1-11'!$A$4:$AK$257,I$118+21,FALSE),0)</f>
        <v>38850</v>
      </c>
      <c r="AD126" s="192">
        <f>IF($B$18=$AU$10,VLOOKUP($N126,'12-1-11'!$A$4:$AK$257,J$118+21,FALSE),0)</f>
        <v>41750</v>
      </c>
      <c r="AE126" s="192">
        <f>IF($B$18=$AU$10,VLOOKUP($N126,'12-1-11'!$A$4:$AK$257,K$118+21,FALSE),0)</f>
        <v>44600</v>
      </c>
      <c r="AF126" s="192">
        <f>IF($B$18=$AU$10,VLOOKUP($N126,'12-1-11'!$A$4:$AK$257,L$118+21,FALSE),0)</f>
        <v>47500</v>
      </c>
      <c r="AH126" s="164" t="str">
        <f>IF(AND((IF(ISNA(VLOOKUP($B$13,$AZ$10:$AZ$556,1,FALSE)),0,VLOOKUP($B$13,$AZ$10:$AZ$556,1,FALSE)))=0,AL210&gt;S210,OR($B$16=$AS$11,$B$16=$AS$15)),"Yes","No")</f>
        <v>No</v>
      </c>
      <c r="AI126" s="192">
        <f>IF($AH126="No",0,18350)</f>
        <v>0</v>
      </c>
      <c r="AJ126" s="192">
        <f>IF($AH126="No",0,20950)</f>
        <v>0</v>
      </c>
      <c r="AK126" s="192">
        <f>IF($AH126="No",0,23600)</f>
        <v>0</v>
      </c>
      <c r="AL126" s="192">
        <f>IF($AH126="No",0,26200)</f>
        <v>0</v>
      </c>
      <c r="AM126" s="192">
        <f>IF($AH126="No",0,28300)</f>
        <v>0</v>
      </c>
      <c r="AN126" s="192">
        <f>IF($AH126="No",0,30400)</f>
        <v>0</v>
      </c>
      <c r="AO126" s="192">
        <f>IF($AH126="No",0,32500)</f>
        <v>0</v>
      </c>
      <c r="AP126" s="192">
        <f>IF($AH126="No",0,34600)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1</v>
      </c>
      <c r="C127" s="183">
        <f t="shared" si="172"/>
        <v>1</v>
      </c>
      <c r="E127" s="287">
        <f t="shared" ref="E127:L127" si="182">+MAX(E126,E128)</f>
        <v>25200</v>
      </c>
      <c r="F127" s="287">
        <f t="shared" si="182"/>
        <v>28800</v>
      </c>
      <c r="G127" s="287">
        <f t="shared" si="182"/>
        <v>32400</v>
      </c>
      <c r="H127" s="287">
        <f t="shared" si="182"/>
        <v>35950</v>
      </c>
      <c r="I127" s="287">
        <f t="shared" si="182"/>
        <v>38850</v>
      </c>
      <c r="J127" s="287">
        <f t="shared" si="182"/>
        <v>41750</v>
      </c>
      <c r="K127" s="287">
        <f t="shared" si="182"/>
        <v>44600</v>
      </c>
      <c r="L127" s="287">
        <f t="shared" si="182"/>
        <v>47500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1</v>
      </c>
      <c r="C128" s="183">
        <f t="shared" si="172"/>
        <v>1</v>
      </c>
      <c r="E128" s="286">
        <f t="shared" ref="E128:L128" si="183">+MAX(P128,Y128,AI128)</f>
        <v>25200</v>
      </c>
      <c r="F128" s="286">
        <f t="shared" si="183"/>
        <v>28800</v>
      </c>
      <c r="G128" s="286">
        <f t="shared" si="183"/>
        <v>32400</v>
      </c>
      <c r="H128" s="286">
        <f t="shared" si="183"/>
        <v>35950</v>
      </c>
      <c r="I128" s="286">
        <f t="shared" si="183"/>
        <v>38850</v>
      </c>
      <c r="J128" s="286">
        <f t="shared" si="183"/>
        <v>41750</v>
      </c>
      <c r="K128" s="286">
        <f t="shared" si="183"/>
        <v>44600</v>
      </c>
      <c r="L128" s="286">
        <f t="shared" si="183"/>
        <v>47500</v>
      </c>
      <c r="N128" s="91" t="str">
        <f>CONCATENATE(AU19,$B$11)</f>
        <v>1/18/2013 - 12/17/2013Kaufman</v>
      </c>
      <c r="P128" s="192">
        <f>VLOOKUP($N128,'2013 placeholder'!$A$4:$L$257,E$118+4,FALSE)</f>
        <v>23650</v>
      </c>
      <c r="Q128" s="192">
        <f>VLOOKUP($N128,'2013 placeholder'!$A$4:$L$257,F$118+4,FALSE)</f>
        <v>27000</v>
      </c>
      <c r="R128" s="192">
        <f>VLOOKUP($N128,'2013 placeholder'!$A$4:$L$257,G$118+4,FALSE)</f>
        <v>30400</v>
      </c>
      <c r="S128" s="192">
        <f>VLOOKUP($N128,'2013 placeholder'!$A$4:$L$257,H$118+4,FALSE)</f>
        <v>33750</v>
      </c>
      <c r="T128" s="192">
        <f>VLOOKUP($N128,'2013 placeholder'!$A$4:$L$257,I$118+4,FALSE)</f>
        <v>36450</v>
      </c>
      <c r="U128" s="192">
        <f>VLOOKUP($N128,'2013 placeholder'!$A$4:$L$257,J$118+4,FALSE)</f>
        <v>39150</v>
      </c>
      <c r="V128" s="192">
        <f>VLOOKUP($N128,'2013 placeholder'!$A$4:$L$257,K$118+4,FALSE)</f>
        <v>41850</v>
      </c>
      <c r="W128" s="192">
        <f>VLOOKUP($N128,'2013 placeholder'!$A$4:$L$257,L$118+4,FALSE)</f>
        <v>44550</v>
      </c>
      <c r="Y128" s="192">
        <f>IF($B$18=$AU$10,VLOOKUP($N128,'2013 placeholder'!$A$4:$AK$257,E$118+21,FALSE),0)</f>
        <v>25200</v>
      </c>
      <c r="Z128" s="192">
        <f>IF($B$18=$AU$10,VLOOKUP($N128,'2013 placeholder'!$A$4:$AK$257,F$118+21,FALSE),0)</f>
        <v>28800</v>
      </c>
      <c r="AA128" s="192">
        <f>IF($B$18=$AU$10,VLOOKUP($N128,'2013 placeholder'!$A$4:$AK$257,G$118+21,FALSE),0)</f>
        <v>32400</v>
      </c>
      <c r="AB128" s="192">
        <f>IF($B$18=$AU$10,VLOOKUP($N128,'2013 placeholder'!$A$4:$AK$257,H$118+21,FALSE),0)</f>
        <v>35950</v>
      </c>
      <c r="AC128" s="192">
        <f>IF($B$18=$AU$10,VLOOKUP($N128,'2013 placeholder'!$A$4:$AK$257,I$118+21,FALSE),0)</f>
        <v>38850</v>
      </c>
      <c r="AD128" s="192">
        <f>IF($B$18=$AU$10,VLOOKUP($N128,'2013 placeholder'!$A$4:$AK$257,J$118+21,FALSE),0)</f>
        <v>41750</v>
      </c>
      <c r="AE128" s="192">
        <f>IF($B$18=$AU$10,VLOOKUP($N128,'2013 placeholder'!$A$4:$AK$257,K$118+21,FALSE),0)</f>
        <v>44600</v>
      </c>
      <c r="AF128" s="192">
        <f>IF($B$18=$AU$10,VLOOKUP($N128,'2013 placeholder'!$A$4:$AK$257,L$118+21,FALSE),0)</f>
        <v>47500</v>
      </c>
      <c r="AH128" s="164" t="str">
        <f>IF(AND((IF(ISNA(VLOOKUP($B$13,$AZ$10:$AZ$556,1,FALSE)),0,VLOOKUP($B$13,$AZ$10:$AZ$556,1,FALSE)))=0,AL212&gt;S212,OR($B$16=$AS$11,$B$16=$AS$15)),"Yes","No")</f>
        <v>No</v>
      </c>
      <c r="AI128" s="192">
        <f>IF($AH128="No",0,18350)</f>
        <v>0</v>
      </c>
      <c r="AJ128" s="192">
        <f>IF($AH128="No",0,20950)</f>
        <v>0</v>
      </c>
      <c r="AK128" s="192">
        <f>IF($AH128="No",0,23600)</f>
        <v>0</v>
      </c>
      <c r="AL128" s="192">
        <f>IF($AH128="No",0,26200)</f>
        <v>0</v>
      </c>
      <c r="AM128" s="192">
        <f>IF($AH128="No",0,28300)</f>
        <v>0</v>
      </c>
      <c r="AN128" s="192">
        <f>IF($AH128="No",0,30400)</f>
        <v>0</v>
      </c>
      <c r="AO128" s="192">
        <f>IF($AH128="No",0,32500)</f>
        <v>0</v>
      </c>
      <c r="AP128" s="192">
        <f>IF($AH128="No",0,34600)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1</v>
      </c>
      <c r="C129" s="183">
        <f t="shared" si="172"/>
        <v>1</v>
      </c>
      <c r="E129" s="287">
        <f t="shared" ref="E129:L129" si="184">+MAX(E128,E130)</f>
        <v>25200</v>
      </c>
      <c r="F129" s="287">
        <f t="shared" si="184"/>
        <v>28800</v>
      </c>
      <c r="G129" s="287">
        <f t="shared" si="184"/>
        <v>32400</v>
      </c>
      <c r="H129" s="287">
        <f t="shared" si="184"/>
        <v>35950</v>
      </c>
      <c r="I129" s="287">
        <f t="shared" si="184"/>
        <v>38850</v>
      </c>
      <c r="J129" s="287">
        <f t="shared" si="184"/>
        <v>41750</v>
      </c>
      <c r="K129" s="287">
        <f t="shared" si="184"/>
        <v>44600</v>
      </c>
      <c r="L129" s="287">
        <f t="shared" si="184"/>
        <v>47500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1</v>
      </c>
      <c r="C130" s="183">
        <f t="shared" si="172"/>
        <v>1</v>
      </c>
      <c r="E130" s="286">
        <f t="shared" ref="E130:L130" si="185">+MAX(P130,Y130,AI130)</f>
        <v>25200</v>
      </c>
      <c r="F130" s="286">
        <f t="shared" si="185"/>
        <v>28800</v>
      </c>
      <c r="G130" s="286">
        <f t="shared" si="185"/>
        <v>32400</v>
      </c>
      <c r="H130" s="286">
        <f t="shared" si="185"/>
        <v>35950</v>
      </c>
      <c r="I130" s="286">
        <f t="shared" si="185"/>
        <v>38850</v>
      </c>
      <c r="J130" s="286">
        <f t="shared" si="185"/>
        <v>41750</v>
      </c>
      <c r="K130" s="286">
        <f t="shared" si="185"/>
        <v>44600</v>
      </c>
      <c r="L130" s="286">
        <f t="shared" si="185"/>
        <v>47500</v>
      </c>
      <c r="N130" s="95" t="str">
        <f>CONCATENATE(AU21,$B$11)</f>
        <v>2/1/2014 - 3/5/2015Kaufman</v>
      </c>
      <c r="P130" s="192">
        <f>VLOOKUP($N130,'2014 placeholder'!$A$4:$L$257,E$118+4,FALSE)</f>
        <v>23800</v>
      </c>
      <c r="Q130" s="192">
        <f>VLOOKUP($N130,'2014 placeholder'!$A$4:$L$257,F$118+4,FALSE)</f>
        <v>27200</v>
      </c>
      <c r="R130" s="192">
        <f>VLOOKUP($N130,'2014 placeholder'!$A$4:$L$257,G$118+4,FALSE)</f>
        <v>30600</v>
      </c>
      <c r="S130" s="192">
        <f>VLOOKUP($N130,'2014 placeholder'!$A$4:$L$257,H$118+4,FALSE)</f>
        <v>33950</v>
      </c>
      <c r="T130" s="192">
        <f>VLOOKUP($N130,'2014 placeholder'!$A$4:$L$257,I$118+4,FALSE)</f>
        <v>36700</v>
      </c>
      <c r="U130" s="192">
        <f>VLOOKUP($N130,'2014 placeholder'!$A$4:$L$257,J$118+4,FALSE)</f>
        <v>39400</v>
      </c>
      <c r="V130" s="192">
        <f>VLOOKUP($N130,'2014 placeholder'!$A$4:$L$257,K$118+4,FALSE)</f>
        <v>42100</v>
      </c>
      <c r="W130" s="192">
        <f>VLOOKUP($N130,'2014 placeholder'!$A$4:$L$257,L$118+4,FALSE)</f>
        <v>44850</v>
      </c>
      <c r="Y130" s="192">
        <f>IF($B$18=$AU$10,VLOOKUP($N130,'2014 placeholder'!$A$4:$AK$257,E$118+21,FALSE),0)</f>
        <v>25200</v>
      </c>
      <c r="Z130" s="192">
        <f>IF($B$18=$AU$10,VLOOKUP($N130,'2014 placeholder'!$A$4:$AK$257,F$118+21,FALSE),0)</f>
        <v>28800</v>
      </c>
      <c r="AA130" s="192">
        <f>IF($B$18=$AU$10,VLOOKUP($N130,'2014 placeholder'!$A$4:$AK$257,G$118+21,FALSE),0)</f>
        <v>32400</v>
      </c>
      <c r="AB130" s="192">
        <f>IF($B$18=$AU$10,VLOOKUP($N130,'2014 placeholder'!$A$4:$AK$257,H$118+21,FALSE),0)</f>
        <v>35950</v>
      </c>
      <c r="AC130" s="192">
        <f>IF($B$18=$AU$10,VLOOKUP($N130,'2014 placeholder'!$A$4:$AK$257,I$118+21,FALSE),0)</f>
        <v>38850</v>
      </c>
      <c r="AD130" s="192">
        <f>IF($B$18=$AU$10,VLOOKUP($N130,'2014 placeholder'!$A$4:$AK$257,J$118+21,FALSE),0)</f>
        <v>41750</v>
      </c>
      <c r="AE130" s="192">
        <f>IF($B$18=$AU$10,VLOOKUP($N130,'2014 placeholder'!$A$4:$AK$257,K$118+21,FALSE),0)</f>
        <v>44600</v>
      </c>
      <c r="AF130" s="192">
        <f>IF($B$18=$AU$10,VLOOKUP($N130,'2014 placeholder'!$A$4:$AK$257,L$118+21,FALSE),0)</f>
        <v>47500</v>
      </c>
      <c r="AH130" s="164" t="str">
        <f>IF(AND((IF(ISNA(VLOOKUP($B$13,$BA$10:$BA$556,1,FALSE)),0,VLOOKUP($B$13,$BA$10:$BA$556,1,FALSE)))=0,AL214&gt;S214,OR($B$16=$AS$11,$B$16=$AS$15)),"Yes","No")</f>
        <v>No</v>
      </c>
      <c r="AI130" s="192">
        <f>IF($AH130="No",0,18400)</f>
        <v>0</v>
      </c>
      <c r="AJ130" s="192">
        <f>IF($AH130="No",0,21000)</f>
        <v>0</v>
      </c>
      <c r="AK130" s="192">
        <f>IF($AH130="No",0,23650)</f>
        <v>0</v>
      </c>
      <c r="AL130" s="192">
        <f>IF($AH130="No",0,26250)</f>
        <v>0</v>
      </c>
      <c r="AM130" s="192">
        <f>IF($AH130="No",0,28350)</f>
        <v>0</v>
      </c>
      <c r="AN130" s="192">
        <f>IF($AH130="No",0,30450)</f>
        <v>0</v>
      </c>
      <c r="AO130" s="192">
        <f>IF($AH130="No",0,32550)</f>
        <v>0</v>
      </c>
      <c r="AP130" s="192">
        <f>IF($AH130="No",0,34650)</f>
        <v>0</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1</v>
      </c>
      <c r="C131" s="183">
        <f t="shared" si="172"/>
        <v>1</v>
      </c>
      <c r="E131" s="287">
        <f>+MAX(E130,E132)</f>
        <v>25300</v>
      </c>
      <c r="F131" s="287">
        <f t="shared" ref="F131:L131" si="186">+MAX(F130,F132)</f>
        <v>28900</v>
      </c>
      <c r="G131" s="287">
        <f t="shared" si="186"/>
        <v>32500</v>
      </c>
      <c r="H131" s="287">
        <f t="shared" si="186"/>
        <v>36100</v>
      </c>
      <c r="I131" s="287">
        <f t="shared" si="186"/>
        <v>39000</v>
      </c>
      <c r="J131" s="287">
        <f t="shared" si="186"/>
        <v>41900</v>
      </c>
      <c r="K131" s="287">
        <f t="shared" si="186"/>
        <v>44800</v>
      </c>
      <c r="L131" s="287">
        <f t="shared" si="186"/>
        <v>47700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1</v>
      </c>
      <c r="C132" s="183">
        <f t="shared" si="172"/>
        <v>1</v>
      </c>
      <c r="E132" s="288">
        <f t="shared" ref="E132:L132" si="187">+MAX(P132,Y132,AI132)</f>
        <v>25300</v>
      </c>
      <c r="F132" s="288">
        <f t="shared" si="187"/>
        <v>28900</v>
      </c>
      <c r="G132" s="288">
        <f t="shared" si="187"/>
        <v>32500</v>
      </c>
      <c r="H132" s="288">
        <f t="shared" si="187"/>
        <v>36100</v>
      </c>
      <c r="I132" s="288">
        <f t="shared" si="187"/>
        <v>39000</v>
      </c>
      <c r="J132" s="288">
        <f t="shared" si="187"/>
        <v>41900</v>
      </c>
      <c r="K132" s="288">
        <f t="shared" si="187"/>
        <v>44800</v>
      </c>
      <c r="L132" s="288">
        <f t="shared" si="187"/>
        <v>47700</v>
      </c>
      <c r="N132" s="95" t="str">
        <f>CONCATENATE(AU23,$B$11)</f>
        <v>4/21/2015 - 3/27/2016Kaufman</v>
      </c>
      <c r="P132" s="192">
        <f>VLOOKUP($N132,'2015 MTSP Limits'!$A$4:$L$257,E$118+4,FALSE)</f>
        <v>24650</v>
      </c>
      <c r="Q132" s="192">
        <f>VLOOKUP($N132,'2015 MTSP Limits'!$A$4:$L$257,F$118+4,FALSE)</f>
        <v>28200</v>
      </c>
      <c r="R132" s="192">
        <f>VLOOKUP($N132,'2015 MTSP Limits'!$A$4:$L$257,G$118+4,FALSE)</f>
        <v>31700</v>
      </c>
      <c r="S132" s="192">
        <f>VLOOKUP($N132,'2015 MTSP Limits'!$A$4:$L$257,H$118+4,FALSE)</f>
        <v>35200</v>
      </c>
      <c r="T132" s="192">
        <f>VLOOKUP($N132,'2015 MTSP Limits'!$A$4:$L$257,I$118+4,FALSE)</f>
        <v>38050</v>
      </c>
      <c r="U132" s="192">
        <f>VLOOKUP($N132,'2015 MTSP Limits'!$A$4:$L$257,J$118+4,FALSE)</f>
        <v>40850</v>
      </c>
      <c r="V132" s="192">
        <f>VLOOKUP($N132,'2015 MTSP Limits'!$A$4:$L$257,K$118+4,FALSE)</f>
        <v>43650</v>
      </c>
      <c r="W132" s="192">
        <f>VLOOKUP($N132,'2015 MTSP Limits'!$A$4:$L$257,L$118+4,FALSE)</f>
        <v>46500</v>
      </c>
      <c r="Y132" s="192">
        <f>IF($B$18=$AU$10,VLOOKUP($N132,'2015 MTSP Limits'!$A$4:$AK$257,E$118+21,FALSE),0)</f>
        <v>25300</v>
      </c>
      <c r="Z132" s="192">
        <f>IF($B$18=$AU$10,VLOOKUP($N132,'2015 MTSP Limits'!$A$4:$AK$257,F$118+21,FALSE),0)</f>
        <v>28900</v>
      </c>
      <c r="AA132" s="192">
        <f>IF($B$18=$AU$10,VLOOKUP($N132,'2015 MTSP Limits'!$A$4:$AK$257,G$118+21,FALSE),0)</f>
        <v>32500</v>
      </c>
      <c r="AB132" s="192">
        <f>IF($B$18=$AU$10,VLOOKUP($N132,'2015 MTSP Limits'!$A$4:$AK$257,H$118+21,FALSE),0)</f>
        <v>36100</v>
      </c>
      <c r="AC132" s="192">
        <f>IF($B$18=$AU$10,VLOOKUP($N132,'2015 MTSP Limits'!$A$4:$AK$257,I$118+21,FALSE),0)</f>
        <v>39000</v>
      </c>
      <c r="AD132" s="192">
        <f>IF($B$18=$AU$10,VLOOKUP($N132,'2015 MTSP Limits'!$A$4:$AK$257,J$118+21,FALSE),0)</f>
        <v>41900</v>
      </c>
      <c r="AE132" s="192">
        <f>IF($B$18=$AU$10,VLOOKUP($N132,'2015 MTSP Limits'!$A$4:$AK$257,K$118+21,FALSE),0)</f>
        <v>44800</v>
      </c>
      <c r="AF132" s="192">
        <f>IF($B$18=$AU$10,VLOOKUP($N132,'2015 MTSP Limits'!$A$4:$AK$257,L$118+21,FALSE),0)</f>
        <v>47700</v>
      </c>
      <c r="AH132" s="164" t="str">
        <f>IF(AND((IF(ISNA(VLOOKUP($B$13,$BB$10:$BB$556,1,FALSE)),0,VLOOKUP($B$13,$BB$10:$BB$556,1,FALSE)))=0,AL216&gt;S216,OR($B$16=$AS$11,$B$16=$AS$15)),"Yes","No")</f>
        <v>No</v>
      </c>
      <c r="AI132" s="192">
        <f>IF($AH132="No",0,18950)</f>
        <v>0</v>
      </c>
      <c r="AJ132" s="192">
        <f>IF($AH132="No",0,21650)</f>
        <v>0</v>
      </c>
      <c r="AK132" s="192">
        <f>IF($AH132="No",0,24350)</f>
        <v>0</v>
      </c>
      <c r="AL132" s="192">
        <f>IF($AH132="No",0,27050)</f>
        <v>0</v>
      </c>
      <c r="AM132" s="192">
        <f>IF($AH132="No",0,29200)</f>
        <v>0</v>
      </c>
      <c r="AN132" s="192">
        <f>IF($AH132="No",0,31400)</f>
        <v>0</v>
      </c>
      <c r="AO132" s="192">
        <f>IF($AH132="No",0,33550)</f>
        <v>0</v>
      </c>
      <c r="AP132" s="192">
        <f>IF($AH132="No",0,35700)</f>
        <v>0</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1</v>
      </c>
      <c r="C133" s="183">
        <f t="shared" si="172"/>
        <v>1</v>
      </c>
      <c r="E133" s="287">
        <f>+MAX(E132,E134)</f>
        <v>25800</v>
      </c>
      <c r="F133" s="287">
        <f t="shared" ref="F133:L133" si="188">+MAX(F132,F134)</f>
        <v>29450</v>
      </c>
      <c r="G133" s="287">
        <f t="shared" si="188"/>
        <v>33150</v>
      </c>
      <c r="H133" s="287">
        <f t="shared" si="188"/>
        <v>36800</v>
      </c>
      <c r="I133" s="287">
        <f t="shared" si="188"/>
        <v>39750</v>
      </c>
      <c r="J133" s="287">
        <f t="shared" si="188"/>
        <v>42700</v>
      </c>
      <c r="K133" s="287">
        <f t="shared" si="188"/>
        <v>45650</v>
      </c>
      <c r="L133" s="287">
        <f t="shared" si="188"/>
        <v>48600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1</v>
      </c>
      <c r="C134" s="183">
        <f t="shared" si="172"/>
        <v>1</v>
      </c>
      <c r="E134" s="288">
        <f t="shared" ref="E134:L134" si="189">+MAX(P134,Y134,AI134)</f>
        <v>25800</v>
      </c>
      <c r="F134" s="288">
        <f t="shared" si="189"/>
        <v>29450</v>
      </c>
      <c r="G134" s="288">
        <f t="shared" si="189"/>
        <v>33150</v>
      </c>
      <c r="H134" s="288">
        <f t="shared" si="189"/>
        <v>36800</v>
      </c>
      <c r="I134" s="288">
        <f t="shared" si="189"/>
        <v>39750</v>
      </c>
      <c r="J134" s="288">
        <f t="shared" si="189"/>
        <v>42700</v>
      </c>
      <c r="K134" s="288">
        <f t="shared" si="189"/>
        <v>45650</v>
      </c>
      <c r="L134" s="288">
        <f t="shared" si="189"/>
        <v>48600</v>
      </c>
      <c r="N134" s="95" t="str">
        <f>CONCATENATE(AU25,$B$11)</f>
        <v>5/13/2016 - 4/13/2017Kaufman</v>
      </c>
      <c r="P134" s="192">
        <f>VLOOKUP($N134,MTSP2016!$A$4:$L$257,E$118+4,FALSE)</f>
        <v>25100</v>
      </c>
      <c r="Q134" s="192">
        <f>VLOOKUP($N134,MTSP2016!$A$4:$L$257,F$118+4,FALSE)</f>
        <v>28700</v>
      </c>
      <c r="R134" s="192">
        <f>VLOOKUP($N134,MTSP2016!$A$4:$L$257,G$118+4,FALSE)</f>
        <v>32300</v>
      </c>
      <c r="S134" s="192">
        <f>VLOOKUP($N134,MTSP2016!$A$4:$L$257,H$118+4,FALSE)</f>
        <v>35850</v>
      </c>
      <c r="T134" s="192">
        <f>VLOOKUP($N134,MTSP2016!$A$4:$L$257,I$118+4,FALSE)</f>
        <v>38750</v>
      </c>
      <c r="U134" s="192">
        <f>VLOOKUP($N134,MTSP2016!$A$4:$L$257,J$118+4,FALSE)</f>
        <v>41600</v>
      </c>
      <c r="V134" s="192">
        <f>VLOOKUP($N134,MTSP2016!$A$4:$L$257,K$118+4,FALSE)</f>
        <v>44500</v>
      </c>
      <c r="W134" s="192">
        <f>VLOOKUP($N134,MTSP2016!$A$4:$L$257,L$118+4,FALSE)</f>
        <v>47350</v>
      </c>
      <c r="X134" s="202"/>
      <c r="Y134" s="192">
        <f>IF($B$18=$AU$10,VLOOKUP($N134,MTSP2016!$A$4:$AK$257,E$118+21,FALSE),0)</f>
        <v>25800</v>
      </c>
      <c r="Z134" s="192">
        <f>IF($B$18=$AU$10,VLOOKUP($N134,MTSP2016!$A$4:$AK$257,F$118+21,FALSE),0)</f>
        <v>29450</v>
      </c>
      <c r="AA134" s="192">
        <f>IF($B$18=$AU$10,VLOOKUP($N134,MTSP2016!$A$4:$AK$257,G$118+21,FALSE),0)</f>
        <v>33150</v>
      </c>
      <c r="AB134" s="192">
        <f>IF($B$18=$AU$10,VLOOKUP($N134,MTSP2016!$A$4:$AK$257,H$118+21,FALSE),0)</f>
        <v>36800</v>
      </c>
      <c r="AC134" s="192">
        <f>IF($B$18=$AU$10,VLOOKUP($N134,MTSP2016!$A$4:$AK$257,I$118+21,FALSE),0)</f>
        <v>39750</v>
      </c>
      <c r="AD134" s="192">
        <f>IF($B$18=$AU$10,VLOOKUP($N134,MTSP2016!$A$4:$AK$257,J$118+21,FALSE),0)</f>
        <v>42700</v>
      </c>
      <c r="AE134" s="192">
        <f>IF($B$18=$AU$10,VLOOKUP($N134,MTSP2016!$A$4:$AK$257,K$118+21,FALSE),0)</f>
        <v>45650</v>
      </c>
      <c r="AF134" s="192">
        <f>IF($B$18=$AU$10,VLOOKUP($N134,MTSP2016!$A$4:$AK$257,L$118+21,FALSE),0)</f>
        <v>48600</v>
      </c>
      <c r="AH134" s="164" t="str">
        <f>IF(AND((IF(ISNA(VLOOKUP($B$13,$BC$10:$BC$556,1,FALSE)),0,VLOOKUP($B$13,$BC$10:$BC$556,1,FALSE)))=0,AL218&gt;S218,OR($B$16=$AS$11,$B$16=$AS$15)),"Yes","No")</f>
        <v>No</v>
      </c>
      <c r="AI134" s="221">
        <f>IF($AH134="No",0,18650)</f>
        <v>0</v>
      </c>
      <c r="AJ134" s="221">
        <f>IF($AH134="No",0,21300)</f>
        <v>0</v>
      </c>
      <c r="AK134" s="192">
        <f>IF($AH134="No",0,24000)</f>
        <v>0</v>
      </c>
      <c r="AL134" s="192">
        <f>IF($AH134="No",0,26650)</f>
        <v>0</v>
      </c>
      <c r="AM134" s="192">
        <f>IF($AH134="No",0,28800)</f>
        <v>0</v>
      </c>
      <c r="AN134" s="221">
        <f>IF($AH134="No",0,30900)</f>
        <v>0</v>
      </c>
      <c r="AO134" s="192">
        <f>IF($AH134="No",0,33050)</f>
        <v>0</v>
      </c>
      <c r="AP134" s="192">
        <f>IF($AH134="No",0,35200)</f>
        <v>0</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1</v>
      </c>
      <c r="C135" s="290">
        <f t="shared" si="172"/>
        <v>1</v>
      </c>
      <c r="D135" s="202"/>
      <c r="E135" s="287">
        <f>+MAX(E134,E136)</f>
        <v>26400</v>
      </c>
      <c r="F135" s="287">
        <f t="shared" ref="F135:L137" si="190">+MAX(F134,F136)</f>
        <v>30150</v>
      </c>
      <c r="G135" s="287">
        <f t="shared" si="190"/>
        <v>33900</v>
      </c>
      <c r="H135" s="287">
        <f t="shared" si="190"/>
        <v>37650</v>
      </c>
      <c r="I135" s="287">
        <f t="shared" si="190"/>
        <v>40700</v>
      </c>
      <c r="J135" s="287">
        <f t="shared" si="190"/>
        <v>43700</v>
      </c>
      <c r="K135" s="287">
        <f t="shared" si="190"/>
        <v>46700</v>
      </c>
      <c r="L135" s="287">
        <f t="shared" si="190"/>
        <v>49700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1</v>
      </c>
      <c r="C136" s="183">
        <f t="shared" si="172"/>
        <v>1</v>
      </c>
      <c r="D136" s="202"/>
      <c r="E136" s="289">
        <f t="shared" ref="E136:L136" si="191">+MAX(P136,Y136,AI136)</f>
        <v>26400</v>
      </c>
      <c r="F136" s="289">
        <f t="shared" si="191"/>
        <v>30150</v>
      </c>
      <c r="G136" s="289">
        <f t="shared" si="191"/>
        <v>33900</v>
      </c>
      <c r="H136" s="289">
        <f t="shared" si="191"/>
        <v>37650</v>
      </c>
      <c r="I136" s="289">
        <f t="shared" si="191"/>
        <v>40700</v>
      </c>
      <c r="J136" s="289">
        <f t="shared" si="191"/>
        <v>43700</v>
      </c>
      <c r="K136" s="289">
        <f t="shared" si="191"/>
        <v>46700</v>
      </c>
      <c r="L136" s="289">
        <f t="shared" si="191"/>
        <v>49700</v>
      </c>
      <c r="M136" s="202"/>
      <c r="N136" s="213" t="str">
        <f>CONCATENATE(AU27,$B$11)</f>
        <v>5/30/2017 - 3/31/2018Kaufman</v>
      </c>
      <c r="O136" s="202"/>
      <c r="P136" s="192">
        <f>VLOOKUP($N136,MTSP2017!A4:L257,E$118+4,FALSE)</f>
        <v>25700</v>
      </c>
      <c r="Q136" s="192">
        <f>VLOOKUP($N136,MTSP2017!A4:L257,F$118+4,FALSE)</f>
        <v>29400</v>
      </c>
      <c r="R136" s="192">
        <f>VLOOKUP($N136,MTSP2017!A4:L257,G$118+4,FALSE)</f>
        <v>33050</v>
      </c>
      <c r="S136" s="192">
        <f>VLOOKUP($N136,MTSP2017!A4:L257,H$118+4,FALSE)</f>
        <v>36700</v>
      </c>
      <c r="T136" s="192">
        <f>VLOOKUP($N136,MTSP2017!A4:L257,I$118+4,FALSE)</f>
        <v>39650</v>
      </c>
      <c r="U136" s="192">
        <f>VLOOKUP($N136,MTSP2017!A4:L257,J$118+4,FALSE)</f>
        <v>42600</v>
      </c>
      <c r="V136" s="192">
        <f>VLOOKUP($N136,MTSP2017!A4:L257,K$118+4,FALSE)</f>
        <v>45550</v>
      </c>
      <c r="W136" s="192">
        <f>VLOOKUP($N136,MTSP2017!A4:L257,L$118+4,FALSE)</f>
        <v>48450</v>
      </c>
      <c r="X136" s="202"/>
      <c r="Y136" s="192">
        <f>IF($B$18=$AU$10,VLOOKUP($N$136,MTSP2017!A4:AK257,E$118+21,FALSE),0)</f>
        <v>26400</v>
      </c>
      <c r="Z136" s="192">
        <f>IF($B$18=$AU$10,VLOOKUP($N$136,MTSP2017!A4:AK257,F$118+21,FALSE),0)</f>
        <v>30150</v>
      </c>
      <c r="AA136" s="192">
        <f>IF($B$18=$AU$10,VLOOKUP($N$136,MTSP2017!A4:AK257,G$118+21,FALSE),0)</f>
        <v>33900</v>
      </c>
      <c r="AB136" s="192">
        <f>IF($B$18=$AU$10,VLOOKUP($N$136,MTSP2017!A4:AK257,H$118+21,FALSE),0)</f>
        <v>37650</v>
      </c>
      <c r="AC136" s="192">
        <f>IF($B$18=$AU$10,VLOOKUP($N$136,MTSP2017!A4:AK257,I$118+21,FALSE),0)</f>
        <v>40700</v>
      </c>
      <c r="AD136" s="192">
        <f>IF($B$18=$AU$10,VLOOKUP($N$136,MTSP2017!A4:AK257,J$118+21,FALSE),0)</f>
        <v>43700</v>
      </c>
      <c r="AE136" s="192">
        <f>IF($B$18=$AU$10,VLOOKUP($N$136,MTSP2017!A4:AK257,K$118+21,FALSE),0)</f>
        <v>46700</v>
      </c>
      <c r="AF136" s="192">
        <f>IF($B$18=$AU$10,VLOOKUP($N$136,MTSP2017!A4:AK257,L$118+21,FALSE),0)</f>
        <v>49700</v>
      </c>
      <c r="AG136" s="202"/>
      <c r="AH136" s="164" t="str">
        <f>IF(AND((IF(ISNA(VLOOKUP($B$13,$BC$10:$BC$556,1,FALSE)),0,VLOOKUP($B$13,$BC$10:$BC$556,1,FALSE)))=0,AL220&gt;S220,OR($B$16=$AS$11,$B$16=$AS$15)),"Yes","No")</f>
        <v>No</v>
      </c>
      <c r="AI136" s="221">
        <f>IF($AH136="No",0,19300)</f>
        <v>0</v>
      </c>
      <c r="AJ136" s="192">
        <f>IF($AH136="No",0,22100)</f>
        <v>0</v>
      </c>
      <c r="AK136" s="192">
        <f>IF($AH136="No",0,24850)</f>
        <v>0</v>
      </c>
      <c r="AL136" s="192">
        <f>IF($AH136="No",0,27600)</f>
        <v>0</v>
      </c>
      <c r="AM136" s="221">
        <f>IF($AH136="No",0,29800)</f>
        <v>0</v>
      </c>
      <c r="AN136" s="221">
        <f>IF($AH136="No",0,32000)</f>
        <v>0</v>
      </c>
      <c r="AO136" s="221">
        <f>IF($AH136="No",0,34250)</f>
        <v>0</v>
      </c>
      <c r="AP136" s="192">
        <f>IF($AH136="No",0,36450)</f>
        <v>0</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1</v>
      </c>
      <c r="C137" s="183">
        <f t="shared" si="172"/>
        <v>1</v>
      </c>
      <c r="D137" s="202"/>
      <c r="E137" s="287">
        <f>+MAX(E136,E138)</f>
        <v>27750</v>
      </c>
      <c r="F137" s="287">
        <f t="shared" si="190"/>
        <v>31700</v>
      </c>
      <c r="G137" s="287">
        <f t="shared" si="190"/>
        <v>35650</v>
      </c>
      <c r="H137" s="287">
        <f t="shared" si="190"/>
        <v>39600</v>
      </c>
      <c r="I137" s="287">
        <f t="shared" si="190"/>
        <v>42800</v>
      </c>
      <c r="J137" s="287">
        <f t="shared" si="190"/>
        <v>45950</v>
      </c>
      <c r="K137" s="287">
        <f t="shared" si="190"/>
        <v>49150</v>
      </c>
      <c r="L137" s="287">
        <f t="shared" si="190"/>
        <v>52300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1</v>
      </c>
      <c r="C138" s="183">
        <f t="shared" si="172"/>
        <v>1</v>
      </c>
      <c r="D138" s="202"/>
      <c r="E138" s="289">
        <f t="shared" ref="E138:L138" si="192">+MAX(P138,Y138,AI138)</f>
        <v>27750</v>
      </c>
      <c r="F138" s="289">
        <f t="shared" si="192"/>
        <v>31700</v>
      </c>
      <c r="G138" s="289">
        <f t="shared" si="192"/>
        <v>35650</v>
      </c>
      <c r="H138" s="289">
        <f t="shared" si="192"/>
        <v>39600</v>
      </c>
      <c r="I138" s="289">
        <f t="shared" si="192"/>
        <v>42800</v>
      </c>
      <c r="J138" s="289">
        <f t="shared" si="192"/>
        <v>45950</v>
      </c>
      <c r="K138" s="289">
        <f t="shared" si="192"/>
        <v>49150</v>
      </c>
      <c r="L138" s="289">
        <f t="shared" si="192"/>
        <v>52300</v>
      </c>
      <c r="M138" s="202"/>
      <c r="N138" s="213" t="str">
        <f>CONCATENATE(AU29,$B$11)</f>
        <v>5/17/2018 - 4/23/2019Kaufman</v>
      </c>
      <c r="O138" s="202"/>
      <c r="P138" s="192">
        <f>INDEX(MTSP2018!E3:E257,MATCH('Income-Rent Tool'!$N$138,MTSP2018!$A$3:$A$257,0))</f>
        <v>27050</v>
      </c>
      <c r="Q138" s="192">
        <f>INDEX(MTSP2018!F3:F257,MATCH('Income-Rent Tool'!$N$138,MTSP2018!$A$3:$A$257,0))</f>
        <v>30900</v>
      </c>
      <c r="R138" s="192">
        <f>INDEX(MTSP2018!G3:G257,MATCH('Income-Rent Tool'!$N$138,MTSP2018!$A$3:$A$257,0))</f>
        <v>34750</v>
      </c>
      <c r="S138" s="192">
        <f>INDEX(MTSP2018!H3:H257,MATCH('Income-Rent Tool'!$N$138,MTSP2018!$A$3:$A$257,0))</f>
        <v>38600</v>
      </c>
      <c r="T138" s="192">
        <f>INDEX(MTSP2018!I3:I257,MATCH('Income-Rent Tool'!$N$138,MTSP2018!$A$3:$A$257,0))</f>
        <v>41700</v>
      </c>
      <c r="U138" s="192">
        <f>INDEX(MTSP2018!J3:J257,MATCH('Income-Rent Tool'!$N$138,MTSP2018!$A$3:$A$257,0))</f>
        <v>44800</v>
      </c>
      <c r="V138" s="192">
        <f>INDEX(MTSP2018!K3:K257,MATCH('Income-Rent Tool'!$N$138,MTSP2018!$A$3:$A$257,0))</f>
        <v>47900</v>
      </c>
      <c r="W138" s="192">
        <f>INDEX(MTSP2018!L3:L257,MATCH('Income-Rent Tool'!$N$138,MTSP2018!$A$3:$A$257,0))</f>
        <v>51000</v>
      </c>
      <c r="X138" s="202"/>
      <c r="Y138" s="192">
        <f>IF($B$18=$AU$10,VLOOKUP($N$138,MTSP2018!$A$3:$AR$257,E$118+21,FALSE),0)</f>
        <v>27750</v>
      </c>
      <c r="Z138" s="192">
        <f>IF($B$18=$AU$10,VLOOKUP($N$138,MTSP2018!$A$3:$AR$257,F$118+21,FALSE),0)</f>
        <v>31700</v>
      </c>
      <c r="AA138" s="192">
        <f>IF($B$18=$AU$10,VLOOKUP($N$138,MTSP2018!$A$3:$AR$257,G$118+21,FALSE),0)</f>
        <v>35650</v>
      </c>
      <c r="AB138" s="192">
        <f>IF($B$18=$AU$10,VLOOKUP($N$138,MTSP2018!$A$3:$AR$257,H$118+21,FALSE),0)</f>
        <v>39600</v>
      </c>
      <c r="AC138" s="192">
        <f>IF($B$18=$AU$10,VLOOKUP($N$138,MTSP2018!$A$3:$AR$257,I$118+21,FALSE),0)</f>
        <v>42800</v>
      </c>
      <c r="AD138" s="192">
        <f>IF($B$18=$AU$10,VLOOKUP($N$138,MTSP2018!$A$3:$AR$257,J$118+21,FALSE),0)</f>
        <v>45950</v>
      </c>
      <c r="AE138" s="192">
        <f>IF($B$18=$AU$10,VLOOKUP($N$138,MTSP2018!$A$3:$AR$257,K$118+21,FALSE),0)</f>
        <v>49150</v>
      </c>
      <c r="AF138" s="192">
        <f>IF($B$18=$AU$10,VLOOKUP($N$138,MTSP2018!$A$3:$AR$257,L$118+21,FALSE),0)</f>
        <v>52300</v>
      </c>
      <c r="AG138" s="202"/>
      <c r="AH138" s="164" t="str">
        <f>IF(AND((IF(ISNA(VLOOKUP($B$13,$BD$10:$BD$1100,1,FALSE)),0,VLOOKUP($B$13,$BD$10:$BD$1100,1,FALSE)))=0,AL222&gt;S222,OR($B$16=$AS$11,$B$16=$AS$15)),"Yes","No")</f>
        <v>No</v>
      </c>
      <c r="AI138" s="247">
        <f>IF($AH138="No",0,20450)</f>
        <v>0</v>
      </c>
      <c r="AJ138" s="247">
        <f>IF($AH138="No",0,23350)</f>
        <v>0</v>
      </c>
      <c r="AK138" s="247">
        <f>IF($AH138="No",0,26300)</f>
        <v>0</v>
      </c>
      <c r="AL138" s="247">
        <f>IF($AH138="No",0,29200)</f>
        <v>0</v>
      </c>
      <c r="AM138" s="247">
        <f>IF($AH138="No",0,31550)</f>
        <v>0</v>
      </c>
      <c r="AN138" s="247">
        <f>IF($AH138="No",0,33850)</f>
        <v>0</v>
      </c>
      <c r="AO138" s="247">
        <f>IF($AH138="No",0,36200)</f>
        <v>0</v>
      </c>
      <c r="AP138" s="247">
        <f>IF($AH138="No",0,38550)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1</v>
      </c>
      <c r="C139" s="183">
        <f t="shared" si="172"/>
        <v>1</v>
      </c>
      <c r="E139" s="287">
        <f>+MAX(E138,E140)</f>
        <v>29900</v>
      </c>
      <c r="F139" s="287">
        <f t="shared" ref="F139:L141" si="193">+MAX(F138,F140)</f>
        <v>34150</v>
      </c>
      <c r="G139" s="287">
        <f t="shared" si="193"/>
        <v>38400</v>
      </c>
      <c r="H139" s="287">
        <f t="shared" si="193"/>
        <v>42650</v>
      </c>
      <c r="I139" s="287">
        <f t="shared" si="193"/>
        <v>46100</v>
      </c>
      <c r="J139" s="287">
        <f t="shared" si="193"/>
        <v>49500</v>
      </c>
      <c r="K139" s="287">
        <f t="shared" si="193"/>
        <v>52900</v>
      </c>
      <c r="L139" s="287">
        <f t="shared" si="193"/>
        <v>56300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1</v>
      </c>
      <c r="C140" s="296">
        <f t="shared" si="172"/>
        <v>1</v>
      </c>
      <c r="E140" s="297">
        <f t="shared" ref="E140:L140" si="194">+MAX(P140,Y140,AI140)</f>
        <v>29900</v>
      </c>
      <c r="F140" s="297">
        <f t="shared" si="194"/>
        <v>34150</v>
      </c>
      <c r="G140" s="297">
        <f t="shared" si="194"/>
        <v>38400</v>
      </c>
      <c r="H140" s="297">
        <f t="shared" si="194"/>
        <v>42650</v>
      </c>
      <c r="I140" s="297">
        <f t="shared" si="194"/>
        <v>46100</v>
      </c>
      <c r="J140" s="297">
        <f t="shared" si="194"/>
        <v>49500</v>
      </c>
      <c r="K140" s="297">
        <f t="shared" si="194"/>
        <v>52900</v>
      </c>
      <c r="L140" s="297">
        <f t="shared" si="194"/>
        <v>56300</v>
      </c>
      <c r="N140" s="246" t="str">
        <f>CONCATENATE(AU31,$B$11)</f>
        <v>6/9/2019 - 3/31/2020Kaufman</v>
      </c>
      <c r="P140" s="299">
        <f>INDEX(MTSP2019!E3:E257,MATCH('Income-Rent Tool'!$N$140,MTSP2019!$A$3:$A$257,0))</f>
        <v>29100</v>
      </c>
      <c r="Q140" s="299">
        <f>INDEX(MTSP2019!F3:F257,MATCH('Income-Rent Tool'!$N$140,MTSP2019!$A$3:$A$257,0))</f>
        <v>33250</v>
      </c>
      <c r="R140" s="299">
        <f>INDEX(MTSP2019!G3:G257,MATCH('Income-Rent Tool'!$N$140,MTSP2019!$A$3:$A$257,0))</f>
        <v>37400</v>
      </c>
      <c r="S140" s="299">
        <f>INDEX(MTSP2019!H3:H257,MATCH('Income-Rent Tool'!$N$140,MTSP2019!$A$3:$A$257,0))</f>
        <v>41550</v>
      </c>
      <c r="T140" s="299">
        <f>INDEX(MTSP2019!I3:I257,MATCH('Income-Rent Tool'!$N$140,MTSP2019!$A$3:$A$257,0))</f>
        <v>44900</v>
      </c>
      <c r="U140" s="299">
        <f>INDEX(MTSP2019!J3:J257,MATCH('Income-Rent Tool'!$N$140,MTSP2019!$A$3:$A$257,0))</f>
        <v>48200</v>
      </c>
      <c r="V140" s="299">
        <f>INDEX(MTSP2019!K3:K257,MATCH('Income-Rent Tool'!$N$140,MTSP2019!$A$3:$A$257,0))</f>
        <v>51550</v>
      </c>
      <c r="W140" s="299">
        <f>INDEX(MTSP2019!L3:L257,MATCH('Income-Rent Tool'!$N$140,MTSP2019!$A$3:$A$257,0))</f>
        <v>54850</v>
      </c>
      <c r="Y140" s="299">
        <f>IF($B$18=$AU$10,VLOOKUP($N$140,MTSP2019!$A$3:$AR$257,E$118+21,FALSE),0)</f>
        <v>29900</v>
      </c>
      <c r="Z140" s="299">
        <f>IF($B$18=$AU$10,VLOOKUP($N$140,MTSP2019!$A$3:$AR$257,F$118+21,FALSE),0)</f>
        <v>34150</v>
      </c>
      <c r="AA140" s="299">
        <f>IF($B$18=$AU$10,VLOOKUP($N$140,MTSP2019!$A$3:$AR$257,G$118+21,FALSE),0)</f>
        <v>38400</v>
      </c>
      <c r="AB140" s="299">
        <f>IF($B$18=$AU$10,VLOOKUP($N$140,MTSP2019!$A$3:$AR$257,H$118+21,FALSE),0)</f>
        <v>42650</v>
      </c>
      <c r="AC140" s="299">
        <f>IF($B$18=$AU$10,VLOOKUP($N$140,MTSP2019!$A$3:$AR$257,I$118+21,FALSE),0)</f>
        <v>46100</v>
      </c>
      <c r="AD140" s="299">
        <f>IF($B$18=$AU$10,VLOOKUP($N$140,MTSP2019!$A$3:$AR$257,J$118+21,FALSE),0)</f>
        <v>49500</v>
      </c>
      <c r="AE140" s="299">
        <f>IF($B$18=$AU$10,VLOOKUP($N$140,MTSP2019!$A$3:$AR$257,K$118+21,FALSE),0)</f>
        <v>52900</v>
      </c>
      <c r="AF140" s="299">
        <f>IF($B$18=$AU$10,VLOOKUP($N$140,MTSP2019!$A$3:$AR$257,L$118+21,FALSE),0)</f>
        <v>56300</v>
      </c>
      <c r="AH140" s="307" t="str">
        <f>IF(AND((IF(ISNA(VLOOKUP($B$13,$BF$10:$BF$1053,1,FALSE)),0,VLOOKUP($B$13,$BF$10:$BF$1053,1,FALSE)))=0,AL224&gt;S224,OR($B$16=$AS$11,$B$16=$AS$15)),"Yes","No")</f>
        <v>No</v>
      </c>
      <c r="AI140" s="308">
        <f>IF($AH140="No",0,21200)</f>
        <v>0</v>
      </c>
      <c r="AJ140" s="308">
        <f>IF($AH140="No",0,24250)</f>
        <v>0</v>
      </c>
      <c r="AK140" s="308">
        <f>IF($AH140="No",0,27250)</f>
        <v>0</v>
      </c>
      <c r="AL140" s="308">
        <f>IF($AH140="No",0,30300)</f>
        <v>0</v>
      </c>
      <c r="AM140" s="308">
        <f>IF($AH140="No",0,32700)</f>
        <v>0</v>
      </c>
      <c r="AN140" s="308">
        <f>IF($AH140="No",0,35150)</f>
        <v>0</v>
      </c>
      <c r="AO140" s="308">
        <f>IF($AH140="No",0,37550)</f>
        <v>0</v>
      </c>
      <c r="AP140" s="308">
        <f>IF($AH140="No",0,40000)</f>
        <v>0</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1</v>
      </c>
      <c r="C141" s="183">
        <f t="shared" si="172"/>
        <v>1</v>
      </c>
      <c r="E141" s="287">
        <f>+MAX(E140,E142)</f>
        <v>31000</v>
      </c>
      <c r="F141" s="287">
        <f t="shared" si="193"/>
        <v>35400</v>
      </c>
      <c r="G141" s="287">
        <f t="shared" si="193"/>
        <v>39850</v>
      </c>
      <c r="H141" s="287">
        <f t="shared" si="193"/>
        <v>44250</v>
      </c>
      <c r="I141" s="287">
        <f t="shared" si="193"/>
        <v>47800</v>
      </c>
      <c r="J141" s="287">
        <f t="shared" si="193"/>
        <v>51350</v>
      </c>
      <c r="K141" s="287">
        <f t="shared" si="193"/>
        <v>54900</v>
      </c>
      <c r="L141" s="287">
        <f t="shared" si="193"/>
        <v>58450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1</v>
      </c>
      <c r="C142" s="296">
        <f t="shared" si="172"/>
        <v>1</v>
      </c>
      <c r="E142" s="297">
        <f t="shared" ref="E142" si="195">+MAX(P142,Y142,AI142)</f>
        <v>31000</v>
      </c>
      <c r="F142" s="297">
        <f t="shared" ref="F142" si="196">+MAX(Q142,Z142,AJ142)</f>
        <v>35400</v>
      </c>
      <c r="G142" s="297">
        <f t="shared" ref="G142" si="197">+MAX(R142,AA142,AK142)</f>
        <v>39850</v>
      </c>
      <c r="H142" s="297">
        <f t="shared" ref="H142" si="198">+MAX(S142,AB142,AL142)</f>
        <v>44250</v>
      </c>
      <c r="I142" s="297">
        <f t="shared" ref="I142" si="199">+MAX(T142,AC142,AM142)</f>
        <v>47800</v>
      </c>
      <c r="J142" s="297">
        <f t="shared" ref="J142" si="200">+MAX(U142,AD142,AN142)</f>
        <v>51350</v>
      </c>
      <c r="K142" s="297">
        <f t="shared" ref="K142" si="201">+MAX(V142,AE142,AO142)</f>
        <v>54900</v>
      </c>
      <c r="L142" s="297">
        <f t="shared" ref="L142" si="202">+MAX(W142,AF142,AP142)</f>
        <v>58450</v>
      </c>
      <c r="N142" s="246" t="str">
        <f>CONCATENATE(AU33,$B$11)</f>
        <v>5/17/2020 - 3/31/2021Kaufman</v>
      </c>
      <c r="P142" s="299">
        <f>INDEX(MTSP2020!E3:E257,MATCH('Income-Rent Tool'!$N$142,MTSP2020!$A$3:$A$257,0))</f>
        <v>30200</v>
      </c>
      <c r="Q142" s="299">
        <f>INDEX(MTSP2020!F3:F257,MATCH('Income-Rent Tool'!$N$142,MTSP2020!$A$3:$A$257,0))</f>
        <v>34500</v>
      </c>
      <c r="R142" s="299">
        <f>INDEX(MTSP2020!G3:G257,MATCH('Income-Rent Tool'!$N$142,MTSP2020!$A$3:$A$257,0))</f>
        <v>38800</v>
      </c>
      <c r="S142" s="299">
        <f>INDEX(MTSP2020!H3:H257,MATCH('Income-Rent Tool'!$N$142,MTSP2020!$A$3:$A$257,0))</f>
        <v>43100</v>
      </c>
      <c r="T142" s="299">
        <f>INDEX(MTSP2020!I3:I257,MATCH('Income-Rent Tool'!$N$142,MTSP2020!$A$3:$A$257,0))</f>
        <v>46550</v>
      </c>
      <c r="U142" s="299">
        <f>INDEX(MTSP2020!J3:J257,MATCH('Income-Rent Tool'!$N$142,MTSP2020!$A$3:$A$257,0))</f>
        <v>50000</v>
      </c>
      <c r="V142" s="299">
        <f>INDEX(MTSP2020!K3:K257,MATCH('Income-Rent Tool'!$N$142,MTSP2020!$A$3:$A$257,0))</f>
        <v>53450</v>
      </c>
      <c r="W142" s="299">
        <f>INDEX(MTSP2020!L3:L257,MATCH('Income-Rent Tool'!$N$142,MTSP2020!$A$3:$A$257,0))</f>
        <v>56900</v>
      </c>
      <c r="Y142" s="299">
        <f>IF($B$18=$AU$10,VLOOKUP($N$142,MTSP2020!$A$3:$AR$257,E$118+21,FALSE),0)</f>
        <v>31000</v>
      </c>
      <c r="Z142" s="299">
        <f>IF($B$18=$AU$10,VLOOKUP($N$142,MTSP2020!$A$3:$AR$257,F$118+21,FALSE),0)</f>
        <v>35400</v>
      </c>
      <c r="AA142" s="299">
        <f>IF($B$18=$AU$10,VLOOKUP($N$142,MTSP2020!$A$3:$AR$257,G$118+21,FALSE),0)</f>
        <v>39850</v>
      </c>
      <c r="AB142" s="299">
        <f>IF($B$18=$AU$10,VLOOKUP($N$142,MTSP2020!$A$3:$AR$257,H$118+21,FALSE),0)</f>
        <v>44250</v>
      </c>
      <c r="AC142" s="299">
        <f>IF($B$18=$AU$10,VLOOKUP($N$142,MTSP2020!$A$3:$AR$257,I$118+21,FALSE),0)</f>
        <v>47800</v>
      </c>
      <c r="AD142" s="299">
        <f>IF($B$18=$AU$10,VLOOKUP($N$142,MTSP2020!$A$3:$AR$257,J$118+21,FALSE),0)</f>
        <v>51350</v>
      </c>
      <c r="AE142" s="299">
        <f>IF($B$18=$AU$10,VLOOKUP($N$142,MTSP2020!$A$3:$AR$257,K$118+21,FALSE),0)</f>
        <v>54900</v>
      </c>
      <c r="AF142" s="299">
        <f>IF($B$18=$AU$10,VLOOKUP($N$142,MTSP2020!$A$3:$AR$257,L$118+21,FALSE),0)</f>
        <v>58450</v>
      </c>
      <c r="AH142" s="307" t="str">
        <f>IF(AND((IF(ISNA(VLOOKUP($B$13,$BG$10:$BG$1107,1,FALSE)),0,VLOOKUP($B$13,$BG$10:$BG$1107,1,FALSE)))=0,AL226&gt;S226,OR($B$16=$AS$11,$B$16=$AS$15)),"Yes","No")</f>
        <v>No</v>
      </c>
      <c r="AI142" s="308">
        <f>IF($AH142="No",0,21800)</f>
        <v>0</v>
      </c>
      <c r="AJ142" s="308">
        <f>IF($AH142="No",0,24900)</f>
        <v>0</v>
      </c>
      <c r="AK142" s="308">
        <f>IF($AH142="No",0,28050)</f>
        <v>0</v>
      </c>
      <c r="AL142" s="308">
        <f>IF($AH142="No",0,31150)</f>
        <v>0</v>
      </c>
      <c r="AM142" s="308">
        <f>IF($AH142="No",0,33650)</f>
        <v>0</v>
      </c>
      <c r="AN142" s="308">
        <f>IF($AH142="No",0,36150)</f>
        <v>0</v>
      </c>
      <c r="AO142" s="308">
        <f>IF($AH142="No",0,38650)</f>
        <v>0</v>
      </c>
      <c r="AP142" s="308">
        <f>IF($AH142="No",0,41100)</f>
        <v>0</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1</v>
      </c>
      <c r="C143" s="183">
        <f t="shared" si="172"/>
        <v>1</v>
      </c>
      <c r="D143" s="202"/>
      <c r="E143" s="287">
        <f>+MAX(E142,E144)</f>
        <v>32000</v>
      </c>
      <c r="F143" s="287">
        <f t="shared" ref="F143:L143" si="203">+MAX(F142,F144)</f>
        <v>36550</v>
      </c>
      <c r="G143" s="287">
        <f t="shared" si="203"/>
        <v>41100</v>
      </c>
      <c r="H143" s="287">
        <f t="shared" si="203"/>
        <v>45650</v>
      </c>
      <c r="I143" s="287">
        <f t="shared" si="203"/>
        <v>49350</v>
      </c>
      <c r="J143" s="287">
        <f t="shared" si="203"/>
        <v>53000</v>
      </c>
      <c r="K143" s="287">
        <f t="shared" si="203"/>
        <v>56650</v>
      </c>
      <c r="L143" s="287">
        <f t="shared" si="203"/>
        <v>60300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1</v>
      </c>
      <c r="C144" s="296">
        <f t="shared" si="172"/>
        <v>1</v>
      </c>
      <c r="D144" s="202"/>
      <c r="E144" s="297">
        <f t="shared" ref="E144" si="205">+MAX(P144,Y144,AI144)</f>
        <v>32000</v>
      </c>
      <c r="F144" s="297">
        <f t="shared" ref="F144" si="206">+MAX(Q144,Z144,AJ144)</f>
        <v>36550</v>
      </c>
      <c r="G144" s="297">
        <f t="shared" ref="G144" si="207">+MAX(R144,AA144,AK144)</f>
        <v>41100</v>
      </c>
      <c r="H144" s="297">
        <f t="shared" ref="H144" si="208">+MAX(S144,AB144,AL144)</f>
        <v>45650</v>
      </c>
      <c r="I144" s="297">
        <f t="shared" ref="I144" si="209">+MAX(T144,AC144,AM144)</f>
        <v>49350</v>
      </c>
      <c r="J144" s="297">
        <f t="shared" ref="J144" si="210">+MAX(U144,AD144,AN144)</f>
        <v>53000</v>
      </c>
      <c r="K144" s="297">
        <f t="shared" ref="K144" si="211">+MAX(V144,AE144,AO144)</f>
        <v>56650</v>
      </c>
      <c r="L144" s="297">
        <f t="shared" ref="L144" si="212">+MAX(W144,AF144,AP144)</f>
        <v>60300</v>
      </c>
      <c r="M144" s="202"/>
      <c r="N144" s="246" t="str">
        <f>CONCATENATE(AU35,$B$11)</f>
        <v>On or After 5/17/2021Kaufman</v>
      </c>
      <c r="O144" s="202"/>
      <c r="P144" s="299">
        <f>INDEX(MTSP2021!E3:E257,MATCH('Income-Rent Tool'!$N$144,MTSP2021!$A$3:$A$257,0))</f>
        <v>31150</v>
      </c>
      <c r="Q144" s="299">
        <f>INDEX(MTSP2021!F3:F257,MATCH('Income-Rent Tool'!$N$144,MTSP2021!$A$3:$A$257,0))</f>
        <v>35600</v>
      </c>
      <c r="R144" s="299">
        <f>INDEX(MTSP2021!G3:G257,MATCH('Income-Rent Tool'!$N$144,MTSP2021!$A$3:$A$257,0))</f>
        <v>40050</v>
      </c>
      <c r="S144" s="299">
        <f>INDEX(MTSP2021!H3:H257,MATCH('Income-Rent Tool'!$N$144,MTSP2021!$A$3:$A$257,0))</f>
        <v>44500</v>
      </c>
      <c r="T144" s="299">
        <f>INDEX(MTSP2021!I3:I257,MATCH('Income-Rent Tool'!$N$144,MTSP2021!$A$3:$A$257,0))</f>
        <v>48100</v>
      </c>
      <c r="U144" s="299">
        <f>INDEX(MTSP2021!J3:J257,MATCH('Income-Rent Tool'!$N$144,MTSP2021!$A$3:$A$257,0))</f>
        <v>51650</v>
      </c>
      <c r="V144" s="299">
        <f>INDEX(MTSP2021!K3:K257,MATCH('Income-Rent Tool'!$N$144,MTSP2021!$A$3:$A$257,0))</f>
        <v>55200</v>
      </c>
      <c r="W144" s="299">
        <f>INDEX(MTSP2021!L3:L257,MATCH('Income-Rent Tool'!$N$144,MTSP2021!$A$3:$A$257,0))</f>
        <v>58750</v>
      </c>
      <c r="X144" s="202"/>
      <c r="Y144" s="299">
        <f>IF($B$18=$AU$10,VLOOKUP($N$144,MTSP2021!$A$3:$AR$257,E$118+21,FALSE),0)</f>
        <v>32000</v>
      </c>
      <c r="Z144" s="299">
        <f>IF($B$18=$AU$10,VLOOKUP($N$144,MTSP2021!$A$3:$AR$257,F$118+21,FALSE),0)</f>
        <v>36550</v>
      </c>
      <c r="AA144" s="299">
        <f>IF($B$18=$AU$10,VLOOKUP($N$144,MTSP2021!$A$3:$AR$257,G$118+21,FALSE),0)</f>
        <v>41100</v>
      </c>
      <c r="AB144" s="299">
        <f>IF($B$18=$AU$10,VLOOKUP($N$144,MTSP2021!$A$3:$AR$257,H$118+21,FALSE),0)</f>
        <v>45650</v>
      </c>
      <c r="AC144" s="299">
        <f>IF($B$18=$AU$10,VLOOKUP($N$144,MTSP2021!$A$3:$AR$257,I$118+21,FALSE),0)</f>
        <v>49350</v>
      </c>
      <c r="AD144" s="299">
        <f>IF($B$18=$AU$10,VLOOKUP($N$144,MTSP2021!$A$3:$AR$257,J$118+21,FALSE),0)</f>
        <v>53000</v>
      </c>
      <c r="AE144" s="299">
        <f>IF($B$18=$AU$10,VLOOKUP($N$144,MTSP2021!$A$3:$AR$257,K$118+21,FALSE),0)</f>
        <v>56650</v>
      </c>
      <c r="AF144" s="299">
        <f>IF($B$18=$AU$10,VLOOKUP($N$144,MTSP2021!$A$3:$AR$257,L$118+21,FALSE),0)</f>
        <v>60300</v>
      </c>
      <c r="AG144" s="202"/>
      <c r="AH144" s="307" t="str">
        <f>IF(AND((IF(ISNA(VLOOKUP($B$13,$BH$11:$BH$1065,1,FALSE)),0,VLOOKUP($B$13,$BH$11:$BH$1065,1,FALSE)))=0,AO228&gt;=S144,OR($B$16=$AS$11,$B$16=$AS$15)),"Yes","No")</f>
        <v>No</v>
      </c>
      <c r="AI144" s="308">
        <f>IF($AH144="No",0,22200)</f>
        <v>0</v>
      </c>
      <c r="AJ144" s="308">
        <f>IF($AH144="No",0,25350)</f>
        <v>0</v>
      </c>
      <c r="AK144" s="308">
        <f>IF($AH144="No",0,28550)</f>
        <v>0</v>
      </c>
      <c r="AL144" s="308">
        <f>IF($AH144="No",0,31700)</f>
        <v>0</v>
      </c>
      <c r="AM144" s="308">
        <f>IF($AH144="No",0,34250)</f>
        <v>0</v>
      </c>
      <c r="AN144" s="308">
        <f>IF($AH144="No",0,36750)</f>
        <v>0</v>
      </c>
      <c r="AO144" s="308">
        <f>IF($AH144="No",0,39300)</f>
        <v>0</v>
      </c>
      <c r="AP144" s="308">
        <f>IF($AH144="No",0,41850)</f>
        <v>0</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71" t="s">
        <v>1412</v>
      </c>
      <c r="Q146" s="371"/>
      <c r="R146" s="371"/>
      <c r="S146" s="371"/>
      <c r="T146" s="371"/>
      <c r="U146" s="371"/>
      <c r="V146" s="371"/>
      <c r="W146" s="371"/>
      <c r="Y146" s="390" t="s">
        <v>1413</v>
      </c>
      <c r="Z146" s="390"/>
      <c r="AA146" s="390"/>
      <c r="AB146" s="390"/>
      <c r="AC146" s="390"/>
      <c r="AD146" s="390"/>
      <c r="AE146" s="390"/>
      <c r="AF146" s="390"/>
      <c r="AI146" s="373" t="s">
        <v>1414</v>
      </c>
      <c r="AJ146" s="373"/>
      <c r="AK146" s="373"/>
      <c r="AL146" s="373"/>
      <c r="AM146" s="373"/>
      <c r="AN146" s="373"/>
      <c r="AO146" s="373"/>
      <c r="AP146" s="373"/>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1</v>
      </c>
      <c r="B147" s="89">
        <f>IF($B$18=$AU10,1,0)</f>
        <v>1</v>
      </c>
      <c r="C147" s="89">
        <f t="shared" ref="C147:C172" si="214">+IF((A63+B63)=2,1,A63+B63)</f>
        <v>1</v>
      </c>
      <c r="E147" s="286">
        <f t="shared" ref="E147:L148" si="215">+MAX(P147,Y147,AI147)</f>
        <v>29460</v>
      </c>
      <c r="F147" s="286">
        <f t="shared" si="215"/>
        <v>33660</v>
      </c>
      <c r="G147" s="286">
        <f t="shared" si="215"/>
        <v>37860</v>
      </c>
      <c r="H147" s="286">
        <f t="shared" si="215"/>
        <v>42060</v>
      </c>
      <c r="I147" s="286">
        <f t="shared" si="215"/>
        <v>45420</v>
      </c>
      <c r="J147" s="286">
        <f t="shared" si="215"/>
        <v>48780</v>
      </c>
      <c r="K147" s="286">
        <f t="shared" si="215"/>
        <v>52140</v>
      </c>
      <c r="L147" s="286">
        <f t="shared" si="215"/>
        <v>55500</v>
      </c>
      <c r="N147" s="91" t="str">
        <f>CONCATENATE($AU$10,$B$11,$N$146)</f>
        <v>Before 12-31-2008Kaufman60</v>
      </c>
      <c r="P147" s="189">
        <f>VLOOKUP($N147,'pre 12-31-08'!$A$4:$L$1400,E$146+3,FALSE)</f>
        <v>29460</v>
      </c>
      <c r="Q147" s="189">
        <f>VLOOKUP($N147,'pre 12-31-08'!$A$4:$L$1400,F$146+3,FALSE)</f>
        <v>33660</v>
      </c>
      <c r="R147" s="189">
        <f>VLOOKUP($N147,'pre 12-31-08'!$A$4:$L$1400,G$146+3,FALSE)</f>
        <v>37860</v>
      </c>
      <c r="S147" s="189">
        <f>VLOOKUP($N147,'pre 12-31-08'!$A$4:$L$1400,H$146+3,FALSE)</f>
        <v>42060</v>
      </c>
      <c r="T147" s="189">
        <f>VLOOKUP($N147,'pre 12-31-08'!$A$4:$L$1400,I$146+3,FALSE)</f>
        <v>45420</v>
      </c>
      <c r="U147" s="189">
        <f>VLOOKUP($N147,'pre 12-31-08'!$A$4:$L$1400,J$146+3,FALSE)</f>
        <v>48780</v>
      </c>
      <c r="V147" s="189">
        <f>VLOOKUP($N147,'pre 12-31-08'!$A$4:$L$1400,K$146+3,FALSE)</f>
        <v>52140</v>
      </c>
      <c r="W147" s="189">
        <f>VLOOKUP($N147,'pre 12-31-08'!$A$4:$L$1400,L$146+3,FALSE)</f>
        <v>55500</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1</v>
      </c>
      <c r="C148" s="89">
        <f t="shared" si="214"/>
        <v>1</v>
      </c>
      <c r="E148" s="286">
        <f t="shared" si="215"/>
        <v>28740</v>
      </c>
      <c r="F148" s="286">
        <f t="shared" si="215"/>
        <v>32820</v>
      </c>
      <c r="G148" s="286">
        <f t="shared" si="215"/>
        <v>36900</v>
      </c>
      <c r="H148" s="286">
        <f t="shared" si="215"/>
        <v>40980</v>
      </c>
      <c r="I148" s="286">
        <f t="shared" si="215"/>
        <v>44280</v>
      </c>
      <c r="J148" s="286">
        <f t="shared" si="215"/>
        <v>47580</v>
      </c>
      <c r="K148" s="286">
        <f t="shared" si="215"/>
        <v>50820</v>
      </c>
      <c r="L148" s="286">
        <f t="shared" si="215"/>
        <v>54120</v>
      </c>
      <c r="N148" s="91" t="str">
        <f>CONCATENATE($AU$11,$B$11,$N$146)</f>
        <v>1/1/2009 - 5/13/2010Kaufman60</v>
      </c>
      <c r="P148" s="189">
        <f>VLOOKUP($N148,'1-1-09-5-14-10'!$A$4:$L$1400,E$146+3,FALSE)</f>
        <v>28740</v>
      </c>
      <c r="Q148" s="189">
        <f>VLOOKUP($N148,'1-1-09-5-14-10'!$A$4:$L$1400,F$146+3,FALSE)</f>
        <v>32820</v>
      </c>
      <c r="R148" s="189">
        <f>VLOOKUP($N148,'1-1-09-5-14-10'!$A$4:$L$1400,G$146+3,FALSE)</f>
        <v>36900</v>
      </c>
      <c r="S148" s="189">
        <f>VLOOKUP($N148,'1-1-09-5-14-10'!$A$4:$L$1400,H$146+3,FALSE)</f>
        <v>40980</v>
      </c>
      <c r="T148" s="189">
        <f>VLOOKUP($N148,'1-1-09-5-14-10'!$A$4:$L$1400,I$146+3,FALSE)</f>
        <v>44280</v>
      </c>
      <c r="U148" s="189">
        <f>VLOOKUP($N148,'1-1-09-5-14-10'!$A$4:$L$1400,J$146+3,FALSE)</f>
        <v>47580</v>
      </c>
      <c r="V148" s="189">
        <f>VLOOKUP($N148,'1-1-09-5-14-10'!$A$4:$L$1400,K$146+3,FALSE)</f>
        <v>50820</v>
      </c>
      <c r="W148" s="189">
        <f>VLOOKUP($N148,'1-1-09-5-14-10'!$A$4:$L$1400,L$146+3,FALSE)</f>
        <v>54120</v>
      </c>
      <c r="Y148" s="38"/>
      <c r="Z148" s="30"/>
      <c r="AA148" s="30"/>
      <c r="AB148" s="30"/>
      <c r="AC148" s="30"/>
      <c r="AD148" s="30"/>
      <c r="AE148" s="30"/>
      <c r="AF148" s="39"/>
      <c r="AI148" s="189">
        <f t="shared" ref="AI148:AP148" si="217">+AI120/5*6</f>
        <v>0</v>
      </c>
      <c r="AJ148" s="189">
        <f t="shared" si="217"/>
        <v>0</v>
      </c>
      <c r="AK148" s="189">
        <f t="shared" si="217"/>
        <v>0</v>
      </c>
      <c r="AL148" s="189">
        <f t="shared" si="217"/>
        <v>0</v>
      </c>
      <c r="AM148" s="189">
        <f t="shared" si="217"/>
        <v>0</v>
      </c>
      <c r="AN148" s="189">
        <f t="shared" si="217"/>
        <v>0</v>
      </c>
      <c r="AO148" s="189">
        <f t="shared" si="217"/>
        <v>0</v>
      </c>
      <c r="AP148" s="189">
        <f t="shared" si="217"/>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1</v>
      </c>
      <c r="C149" s="89">
        <f t="shared" si="214"/>
        <v>1</v>
      </c>
      <c r="E149" s="287">
        <f t="shared" ref="E149:L149" si="218">+MAX(E148,E150)</f>
        <v>28740</v>
      </c>
      <c r="F149" s="287">
        <f t="shared" si="218"/>
        <v>32820</v>
      </c>
      <c r="G149" s="287">
        <f t="shared" si="218"/>
        <v>36900</v>
      </c>
      <c r="H149" s="287">
        <f t="shared" si="218"/>
        <v>40980</v>
      </c>
      <c r="I149" s="287">
        <f t="shared" si="218"/>
        <v>44280</v>
      </c>
      <c r="J149" s="287">
        <f t="shared" si="218"/>
        <v>47580</v>
      </c>
      <c r="K149" s="287">
        <f t="shared" si="218"/>
        <v>50820</v>
      </c>
      <c r="L149" s="287">
        <f t="shared" si="218"/>
        <v>54120</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1</v>
      </c>
      <c r="C150" s="89">
        <f t="shared" si="214"/>
        <v>1</v>
      </c>
      <c r="E150" s="286">
        <f t="shared" ref="E150:L150" si="219">+MAX(P150,Y150,AI150)</f>
        <v>28740</v>
      </c>
      <c r="F150" s="286">
        <f t="shared" si="219"/>
        <v>32820</v>
      </c>
      <c r="G150" s="286">
        <f t="shared" si="219"/>
        <v>36900</v>
      </c>
      <c r="H150" s="286">
        <f t="shared" si="219"/>
        <v>40980</v>
      </c>
      <c r="I150" s="286">
        <f t="shared" si="219"/>
        <v>44280</v>
      </c>
      <c r="J150" s="286">
        <f t="shared" si="219"/>
        <v>47580</v>
      </c>
      <c r="K150" s="286">
        <f t="shared" si="219"/>
        <v>50820</v>
      </c>
      <c r="L150" s="286">
        <f t="shared" si="219"/>
        <v>54120</v>
      </c>
      <c r="N150" s="91" t="str">
        <f>CONCATENATE($AU$13,$B$11,$N$146)</f>
        <v>6/29/2010 - 5/30/2011Kaufman60</v>
      </c>
      <c r="P150" s="189">
        <f>VLOOKUP($N150,'5-14-10-5-31-11'!$A$4:$L$1400,E$146+3,FALSE)</f>
        <v>28740</v>
      </c>
      <c r="Q150" s="189">
        <f>VLOOKUP($N150,'5-14-10-5-31-11'!$A$4:$L$1400,F$146+3,FALSE)</f>
        <v>32820</v>
      </c>
      <c r="R150" s="189">
        <f>VLOOKUP($N150,'5-14-10-5-31-11'!$A$4:$L$1400,G$146+3,FALSE)</f>
        <v>36900</v>
      </c>
      <c r="S150" s="189">
        <f>VLOOKUP($N150,'5-14-10-5-31-11'!$A$4:$L$1400,H$146+3,FALSE)</f>
        <v>40980</v>
      </c>
      <c r="T150" s="189">
        <f>VLOOKUP($N150,'5-14-10-5-31-11'!$A$4:$L$1400,I$146+3,FALSE)</f>
        <v>44280</v>
      </c>
      <c r="U150" s="189">
        <f>VLOOKUP($N150,'5-14-10-5-31-11'!$A$4:$L$1400,J$146+3,FALSE)</f>
        <v>47580</v>
      </c>
      <c r="V150" s="189">
        <f>VLOOKUP($N150,'5-14-10-5-31-11'!$A$4:$L$1400,K$146+3,FALSE)</f>
        <v>50820</v>
      </c>
      <c r="W150" s="189">
        <f>VLOOKUP($N150,'5-14-10-5-31-11'!$A$4:$L$1400,L$146+3,FALSE)</f>
        <v>54120</v>
      </c>
      <c r="Y150" s="38"/>
      <c r="Z150" s="30"/>
      <c r="AA150" s="30"/>
      <c r="AB150" s="30"/>
      <c r="AC150" s="30"/>
      <c r="AD150" s="30"/>
      <c r="AE150" s="30"/>
      <c r="AF150" s="39"/>
      <c r="AI150" s="189">
        <f t="shared" ref="AI150:AP150" si="220">+AI122/5*6</f>
        <v>0</v>
      </c>
      <c r="AJ150" s="189">
        <f t="shared" si="220"/>
        <v>0</v>
      </c>
      <c r="AK150" s="189">
        <f t="shared" si="220"/>
        <v>0</v>
      </c>
      <c r="AL150" s="189">
        <f t="shared" si="220"/>
        <v>0</v>
      </c>
      <c r="AM150" s="189">
        <f t="shared" si="220"/>
        <v>0</v>
      </c>
      <c r="AN150" s="189">
        <f t="shared" si="220"/>
        <v>0</v>
      </c>
      <c r="AO150" s="189">
        <f t="shared" si="220"/>
        <v>0</v>
      </c>
      <c r="AP150" s="189">
        <f t="shared" si="220"/>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1</v>
      </c>
      <c r="C151" s="89">
        <f t="shared" si="214"/>
        <v>1</v>
      </c>
      <c r="E151" s="287">
        <f t="shared" ref="E151:L151" si="221">+MAX(E150,E152)</f>
        <v>29820</v>
      </c>
      <c r="F151" s="287">
        <f t="shared" si="221"/>
        <v>34080</v>
      </c>
      <c r="G151" s="287">
        <f t="shared" si="221"/>
        <v>38340</v>
      </c>
      <c r="H151" s="287">
        <f t="shared" si="221"/>
        <v>42540</v>
      </c>
      <c r="I151" s="287">
        <f t="shared" si="221"/>
        <v>45960</v>
      </c>
      <c r="J151" s="287">
        <f t="shared" si="221"/>
        <v>49380</v>
      </c>
      <c r="K151" s="287">
        <f t="shared" si="221"/>
        <v>52800</v>
      </c>
      <c r="L151" s="287">
        <f t="shared" si="221"/>
        <v>56160</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1</v>
      </c>
      <c r="C152" s="89">
        <f t="shared" si="214"/>
        <v>1</v>
      </c>
      <c r="E152" s="286">
        <f t="shared" ref="E152:L152" si="222">+MAX(P152,Y152,AI152)</f>
        <v>29820</v>
      </c>
      <c r="F152" s="286">
        <f t="shared" si="222"/>
        <v>34080</v>
      </c>
      <c r="G152" s="286">
        <f t="shared" si="222"/>
        <v>38340</v>
      </c>
      <c r="H152" s="286">
        <f t="shared" si="222"/>
        <v>42540</v>
      </c>
      <c r="I152" s="286">
        <f t="shared" si="222"/>
        <v>45960</v>
      </c>
      <c r="J152" s="286">
        <f t="shared" si="222"/>
        <v>49380</v>
      </c>
      <c r="K152" s="286">
        <f t="shared" si="222"/>
        <v>52800</v>
      </c>
      <c r="L152" s="286">
        <f t="shared" si="222"/>
        <v>56160</v>
      </c>
      <c r="N152" s="91" t="str">
        <f>CONCATENATE(AU15,$B$11)</f>
        <v>7/16/2011 - 11/31/2011Kaufman</v>
      </c>
      <c r="P152" s="189">
        <f>VLOOKUP($N152,'6-1-11'!$A$4:$T$257,E$146+12,FALSE)</f>
        <v>29040</v>
      </c>
      <c r="Q152" s="189">
        <f>VLOOKUP($N152,'6-1-11'!$A$4:$T$257,F$146+12,FALSE)</f>
        <v>33180</v>
      </c>
      <c r="R152" s="189">
        <f>VLOOKUP($N152,'6-1-11'!$A$4:$T$257,G$146+12,FALSE)</f>
        <v>37320</v>
      </c>
      <c r="S152" s="189">
        <f>VLOOKUP($N152,'6-1-11'!$A$4:$T$257,H$146+12,FALSE)</f>
        <v>41460</v>
      </c>
      <c r="T152" s="189">
        <f>VLOOKUP($N152,'6-1-11'!$A$4:$T$257,I$146+12,FALSE)</f>
        <v>44820</v>
      </c>
      <c r="U152" s="189">
        <f>VLOOKUP($N152,'6-1-11'!$A$4:$T$257,J$146+12,FALSE)</f>
        <v>48120</v>
      </c>
      <c r="V152" s="189">
        <f>VLOOKUP($N152,'6-1-11'!$A$4:$T$257,K$146+12,FALSE)</f>
        <v>51420</v>
      </c>
      <c r="W152" s="189">
        <f>VLOOKUP($N152,'6-1-11'!$A$4:$T$257,L$146+12,FALSE)</f>
        <v>54780</v>
      </c>
      <c r="Y152" s="189">
        <f>IF($B$18=$AU$10,VLOOKUP($N152,'6-1-11'!$A$4:$AK$257,E$146+29,FALSE),0)</f>
        <v>29820</v>
      </c>
      <c r="Z152" s="189">
        <f>IF($B$18=$AU$10,VLOOKUP($N152,'6-1-11'!$A$4:$AK$257,F$146+29,FALSE),0)</f>
        <v>34080</v>
      </c>
      <c r="AA152" s="189">
        <f>IF($B$18=$AU$10,VLOOKUP($N152,'6-1-11'!$A$4:$AK$257,G$146+29,FALSE),0)</f>
        <v>38340</v>
      </c>
      <c r="AB152" s="189">
        <f>IF($B$18=$AU$10,VLOOKUP($N152,'6-1-11'!$A$4:$AK$257,H$146+29,FALSE),0)</f>
        <v>42540</v>
      </c>
      <c r="AC152" s="189">
        <f>IF($B$18=$AU$10,VLOOKUP($N152,'6-1-11'!$A$4:$AK$257,I$146+29,FALSE),0)</f>
        <v>45960</v>
      </c>
      <c r="AD152" s="189">
        <f>IF($B$18=$AU$10,VLOOKUP($N152,'6-1-11'!$A$4:$AK$257,J$146+29,FALSE),0)</f>
        <v>49380</v>
      </c>
      <c r="AE152" s="189">
        <f>IF($B$18=$AU$10,VLOOKUP($N152,'6-1-11'!$A$4:$AK$257,K$146+29,FALSE),0)</f>
        <v>52800</v>
      </c>
      <c r="AF152" s="189">
        <f>IF($B$18=$AU$10,VLOOKUP($N152,'6-1-11'!$A$4:$AK$257,L$146+29,FALSE),0)</f>
        <v>56160</v>
      </c>
      <c r="AI152" s="189">
        <f t="shared" ref="AI152:AP152" si="223">+AI124/5*6</f>
        <v>0</v>
      </c>
      <c r="AJ152" s="189">
        <f t="shared" si="223"/>
        <v>0</v>
      </c>
      <c r="AK152" s="189">
        <f t="shared" si="223"/>
        <v>0</v>
      </c>
      <c r="AL152" s="189">
        <f t="shared" si="223"/>
        <v>0</v>
      </c>
      <c r="AM152" s="189">
        <f t="shared" si="223"/>
        <v>0</v>
      </c>
      <c r="AN152" s="189">
        <f t="shared" si="223"/>
        <v>0</v>
      </c>
      <c r="AO152" s="189">
        <f t="shared" si="223"/>
        <v>0</v>
      </c>
      <c r="AP152" s="189">
        <f t="shared" si="223"/>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1</v>
      </c>
      <c r="C153" s="89">
        <f t="shared" si="214"/>
        <v>1</v>
      </c>
      <c r="E153" s="287">
        <f t="shared" ref="E153:L153" si="224">+MAX(E152,E154)</f>
        <v>30240</v>
      </c>
      <c r="F153" s="287">
        <f t="shared" si="224"/>
        <v>34560</v>
      </c>
      <c r="G153" s="287">
        <f t="shared" si="224"/>
        <v>38880</v>
      </c>
      <c r="H153" s="287">
        <f t="shared" si="224"/>
        <v>43140</v>
      </c>
      <c r="I153" s="287">
        <f t="shared" si="224"/>
        <v>46620</v>
      </c>
      <c r="J153" s="287">
        <f t="shared" si="224"/>
        <v>50100</v>
      </c>
      <c r="K153" s="287">
        <f t="shared" si="224"/>
        <v>53520</v>
      </c>
      <c r="L153" s="287">
        <f t="shared" si="224"/>
        <v>57000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1</v>
      </c>
      <c r="C154" s="89">
        <f t="shared" si="214"/>
        <v>1</v>
      </c>
      <c r="E154" s="286">
        <f t="shared" ref="E154:L154" si="225">+MAX(P154,Y154,AI154)</f>
        <v>30240</v>
      </c>
      <c r="F154" s="286">
        <f t="shared" si="225"/>
        <v>34560</v>
      </c>
      <c r="G154" s="286">
        <f t="shared" si="225"/>
        <v>38880</v>
      </c>
      <c r="H154" s="286">
        <f t="shared" si="225"/>
        <v>43140</v>
      </c>
      <c r="I154" s="286">
        <f t="shared" si="225"/>
        <v>46620</v>
      </c>
      <c r="J154" s="286">
        <f t="shared" si="225"/>
        <v>50100</v>
      </c>
      <c r="K154" s="286">
        <f t="shared" si="225"/>
        <v>53520</v>
      </c>
      <c r="L154" s="286">
        <f t="shared" si="225"/>
        <v>57000</v>
      </c>
      <c r="N154" s="91" t="str">
        <f>CONCATENATE(AU17,$B$11)</f>
        <v>1/16/2012 - 12/3/2012Kaufman</v>
      </c>
      <c r="P154" s="189">
        <f>VLOOKUP($N154,'12-1-11'!$A$4:$T$257,E$146+12,FALSE)</f>
        <v>29460</v>
      </c>
      <c r="Q154" s="189">
        <f>VLOOKUP($N154,'12-1-11'!$A$4:$T$257,F$146+12,FALSE)</f>
        <v>33660</v>
      </c>
      <c r="R154" s="189">
        <f>VLOOKUP($N154,'12-1-11'!$A$4:$T$257,G$146+12,FALSE)</f>
        <v>37860</v>
      </c>
      <c r="S154" s="189">
        <f>VLOOKUP($N154,'12-1-11'!$A$4:$T$257,H$146+12,FALSE)</f>
        <v>42060</v>
      </c>
      <c r="T154" s="189">
        <f>VLOOKUP($N154,'12-1-11'!$A$4:$T$257,I$146+12,FALSE)</f>
        <v>45480</v>
      </c>
      <c r="U154" s="189">
        <f>VLOOKUP($N154,'12-1-11'!$A$4:$T$257,J$146+12,FALSE)</f>
        <v>48840</v>
      </c>
      <c r="V154" s="189">
        <f>VLOOKUP($N154,'12-1-11'!$A$4:$T$257,K$146+12,FALSE)</f>
        <v>52200</v>
      </c>
      <c r="W154" s="189">
        <f>VLOOKUP($N154,'12-1-11'!$A$4:$T$257,L$146+12,FALSE)</f>
        <v>55560</v>
      </c>
      <c r="Y154" s="189">
        <f>IF($B$18=$AU$10,VLOOKUP($N154,'12-1-11'!$A$4:$AK$257,E$146+29,FALSE),0)</f>
        <v>30240</v>
      </c>
      <c r="Z154" s="189">
        <f>IF($B$18=$AU$10,VLOOKUP($N154,'12-1-11'!$A$4:$AK$257,F$146+29,FALSE),0)</f>
        <v>34560</v>
      </c>
      <c r="AA154" s="189">
        <f>IF($B$18=$AU$10,VLOOKUP($N154,'12-1-11'!$A$4:$AK$257,G$146+29,FALSE),0)</f>
        <v>38880</v>
      </c>
      <c r="AB154" s="189">
        <f>IF($B$18=$AU$10,VLOOKUP($N154,'12-1-11'!$A$4:$AK$257,H$146+29,FALSE),0)</f>
        <v>43140</v>
      </c>
      <c r="AC154" s="189">
        <f>IF($B$18=$AU$10,VLOOKUP($N154,'12-1-11'!$A$4:$AK$257,I$146+29,FALSE),0)</f>
        <v>46620</v>
      </c>
      <c r="AD154" s="189">
        <f>IF($B$18=$AU$10,VLOOKUP($N154,'12-1-11'!$A$4:$AK$257,J$146+29,FALSE),0)</f>
        <v>50100</v>
      </c>
      <c r="AE154" s="189">
        <f>IF($B$18=$AU$10,VLOOKUP($N154,'12-1-11'!$A$4:$AK$257,K$146+29,FALSE),0)</f>
        <v>53520</v>
      </c>
      <c r="AF154" s="189">
        <f>IF($B$18=$AU$10,VLOOKUP($N154,'12-1-11'!$A$4:$AK$257,L$146+29,FALSE),0)</f>
        <v>57000</v>
      </c>
      <c r="AI154" s="189">
        <f t="shared" ref="AI154:AP154" si="226">+AI126/5*6</f>
        <v>0</v>
      </c>
      <c r="AJ154" s="189">
        <f t="shared" si="226"/>
        <v>0</v>
      </c>
      <c r="AK154" s="189">
        <f t="shared" si="226"/>
        <v>0</v>
      </c>
      <c r="AL154" s="189">
        <f t="shared" si="226"/>
        <v>0</v>
      </c>
      <c r="AM154" s="189">
        <f t="shared" si="226"/>
        <v>0</v>
      </c>
      <c r="AN154" s="189">
        <f t="shared" si="226"/>
        <v>0</v>
      </c>
      <c r="AO154" s="189">
        <f t="shared" si="226"/>
        <v>0</v>
      </c>
      <c r="AP154" s="189">
        <f t="shared" si="226"/>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1</v>
      </c>
      <c r="C155" s="89">
        <f t="shared" si="214"/>
        <v>1</v>
      </c>
      <c r="E155" s="287">
        <f t="shared" ref="E155:L155" si="227">+MAX(E154,E156)</f>
        <v>30240</v>
      </c>
      <c r="F155" s="287">
        <f t="shared" si="227"/>
        <v>34560</v>
      </c>
      <c r="G155" s="287">
        <f t="shared" si="227"/>
        <v>38880</v>
      </c>
      <c r="H155" s="287">
        <f t="shared" si="227"/>
        <v>43140</v>
      </c>
      <c r="I155" s="287">
        <f t="shared" si="227"/>
        <v>46620</v>
      </c>
      <c r="J155" s="287">
        <f t="shared" si="227"/>
        <v>50100</v>
      </c>
      <c r="K155" s="287">
        <f t="shared" si="227"/>
        <v>53520</v>
      </c>
      <c r="L155" s="287">
        <f t="shared" si="227"/>
        <v>57000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1</v>
      </c>
      <c r="C156" s="89">
        <f t="shared" si="214"/>
        <v>1</v>
      </c>
      <c r="E156" s="286">
        <f t="shared" ref="E156:L156" si="228">+MAX(P156,Y156,AI156)</f>
        <v>30240</v>
      </c>
      <c r="F156" s="286">
        <f t="shared" si="228"/>
        <v>34560</v>
      </c>
      <c r="G156" s="286">
        <f t="shared" si="228"/>
        <v>38880</v>
      </c>
      <c r="H156" s="286">
        <f t="shared" si="228"/>
        <v>43140</v>
      </c>
      <c r="I156" s="286">
        <f t="shared" si="228"/>
        <v>46620</v>
      </c>
      <c r="J156" s="286">
        <f t="shared" si="228"/>
        <v>50100</v>
      </c>
      <c r="K156" s="286">
        <f t="shared" si="228"/>
        <v>53520</v>
      </c>
      <c r="L156" s="286">
        <f t="shared" si="228"/>
        <v>57000</v>
      </c>
      <c r="N156" s="91" t="str">
        <f>CONCATENATE(AU19,$B$11)</f>
        <v>1/18/2013 - 12/17/2013Kaufman</v>
      </c>
      <c r="P156" s="189">
        <f>VLOOKUP($N156,'2013 placeholder'!$A$4:$T$257,E$146+12,FALSE)</f>
        <v>28380</v>
      </c>
      <c r="Q156" s="189">
        <f>VLOOKUP($N156,'2013 placeholder'!$A$4:$T$257,F$146+12,FALSE)</f>
        <v>32400</v>
      </c>
      <c r="R156" s="189">
        <f>VLOOKUP($N156,'2013 placeholder'!$A$4:$T$257,G$146+12,FALSE)</f>
        <v>36480</v>
      </c>
      <c r="S156" s="189">
        <f>VLOOKUP($N156,'2013 placeholder'!$A$4:$T$257,H$146+12,FALSE)</f>
        <v>40500</v>
      </c>
      <c r="T156" s="189">
        <f>VLOOKUP($N156,'2013 placeholder'!$A$4:$T$257,I$146+12,FALSE)</f>
        <v>43740</v>
      </c>
      <c r="U156" s="189">
        <f>VLOOKUP($N156,'2013 placeholder'!$A$4:$T$257,J$146+12,FALSE)</f>
        <v>46980</v>
      </c>
      <c r="V156" s="189">
        <f>VLOOKUP($N156,'2013 placeholder'!$A$4:$T$257,K$146+12,FALSE)</f>
        <v>50220</v>
      </c>
      <c r="W156" s="189">
        <f>VLOOKUP($N156,'2013 placeholder'!$A$4:$T$257,L$146+12,FALSE)</f>
        <v>53460</v>
      </c>
      <c r="Y156" s="189">
        <f>IF($B$18=$AU$10,VLOOKUP($N156,'2013 placeholder'!$A$4:$AK$257,E$146+29,FALSE),0)</f>
        <v>30240</v>
      </c>
      <c r="Z156" s="189">
        <f>IF($B$18=$AU$10,VLOOKUP($N156,'2013 placeholder'!$A$4:$AK$257,F$146+29,FALSE),0)</f>
        <v>34560</v>
      </c>
      <c r="AA156" s="189">
        <f>IF($B$18=$AU$10,VLOOKUP($N156,'2013 placeholder'!$A$4:$AK$257,G$146+29,FALSE),0)</f>
        <v>38880</v>
      </c>
      <c r="AB156" s="189">
        <f>IF($B$18=$AU$10,VLOOKUP($N156,'2013 placeholder'!$A$4:$AK$257,H$146+29,FALSE),0)</f>
        <v>43140</v>
      </c>
      <c r="AC156" s="189">
        <f>IF($B$18=$AU$10,VLOOKUP($N156,'2013 placeholder'!$A$4:$AK$257,I$146+29,FALSE),0)</f>
        <v>46620</v>
      </c>
      <c r="AD156" s="189">
        <f>IF($B$18=$AU$10,VLOOKUP($N156,'2013 placeholder'!$A$4:$AK$257,J$146+29,FALSE),0)</f>
        <v>50100</v>
      </c>
      <c r="AE156" s="189">
        <f>IF($B$18=$AU$10,VLOOKUP($N156,'2013 placeholder'!$A$4:$AK$257,K$146+29,FALSE),0)</f>
        <v>53520</v>
      </c>
      <c r="AF156" s="189">
        <f>IF($B$18=$AU$10,VLOOKUP($N156,'2013 placeholder'!$A$4:$AK$257,L$146+29,FALSE),0)</f>
        <v>57000</v>
      </c>
      <c r="AI156" s="189">
        <f t="shared" ref="AI156:AP156" si="229">+AI128*1.2</f>
        <v>0</v>
      </c>
      <c r="AJ156" s="189">
        <f t="shared" si="229"/>
        <v>0</v>
      </c>
      <c r="AK156" s="189">
        <f t="shared" si="229"/>
        <v>0</v>
      </c>
      <c r="AL156" s="189">
        <f t="shared" si="229"/>
        <v>0</v>
      </c>
      <c r="AM156" s="189">
        <f t="shared" si="229"/>
        <v>0</v>
      </c>
      <c r="AN156" s="189">
        <f t="shared" si="229"/>
        <v>0</v>
      </c>
      <c r="AO156" s="189">
        <f t="shared" si="229"/>
        <v>0</v>
      </c>
      <c r="AP156" s="189">
        <f t="shared" si="229"/>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1</v>
      </c>
      <c r="C157" s="183">
        <f t="shared" si="214"/>
        <v>1</v>
      </c>
      <c r="E157" s="287">
        <f t="shared" ref="E157:L157" si="230">+MAX(E156,E158)</f>
        <v>30240</v>
      </c>
      <c r="F157" s="287">
        <f t="shared" si="230"/>
        <v>34560</v>
      </c>
      <c r="G157" s="287">
        <f t="shared" si="230"/>
        <v>38880</v>
      </c>
      <c r="H157" s="287">
        <f t="shared" si="230"/>
        <v>43140</v>
      </c>
      <c r="I157" s="287">
        <f t="shared" si="230"/>
        <v>46620</v>
      </c>
      <c r="J157" s="287">
        <f t="shared" si="230"/>
        <v>50100</v>
      </c>
      <c r="K157" s="287">
        <f t="shared" si="230"/>
        <v>53520</v>
      </c>
      <c r="L157" s="287">
        <f t="shared" si="230"/>
        <v>57000</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1</v>
      </c>
      <c r="C158" s="183">
        <f t="shared" si="214"/>
        <v>1</v>
      </c>
      <c r="E158" s="286">
        <f t="shared" ref="E158:L158" si="231">+MAX(P158,Y158,AI158)</f>
        <v>30240</v>
      </c>
      <c r="F158" s="286">
        <f t="shared" si="231"/>
        <v>34560</v>
      </c>
      <c r="G158" s="286">
        <f t="shared" si="231"/>
        <v>38880</v>
      </c>
      <c r="H158" s="286">
        <f t="shared" si="231"/>
        <v>43140</v>
      </c>
      <c r="I158" s="286">
        <f t="shared" si="231"/>
        <v>46620</v>
      </c>
      <c r="J158" s="286">
        <f t="shared" si="231"/>
        <v>50100</v>
      </c>
      <c r="K158" s="286">
        <f t="shared" si="231"/>
        <v>53520</v>
      </c>
      <c r="L158" s="286">
        <f t="shared" si="231"/>
        <v>57000</v>
      </c>
      <c r="N158" s="95" t="str">
        <f>CONCATENATE(AU21,$B$11)</f>
        <v>2/1/2014 - 3/5/2015Kaufman</v>
      </c>
      <c r="P158" s="192">
        <f>VLOOKUP($N158,'2014 placeholder'!$A$4:$T$257,E$146+12,FALSE)</f>
        <v>28560</v>
      </c>
      <c r="Q158" s="192">
        <f>VLOOKUP($N158,'2014 placeholder'!$A$4:$T$257,F$146+12,FALSE)</f>
        <v>32640</v>
      </c>
      <c r="R158" s="192">
        <f>VLOOKUP($N158,'2014 placeholder'!$A$4:$T$257,G$146+12,FALSE)</f>
        <v>36720</v>
      </c>
      <c r="S158" s="192">
        <f>VLOOKUP($N158,'2014 placeholder'!$A$4:$T$257,H$146+12,FALSE)</f>
        <v>40740</v>
      </c>
      <c r="T158" s="192">
        <f>VLOOKUP($N158,'2014 placeholder'!$A$4:$T$257,I$146+12,FALSE)</f>
        <v>44040</v>
      </c>
      <c r="U158" s="192">
        <f>VLOOKUP($N158,'2014 placeholder'!$A$4:$T$257,J$146+12,FALSE)</f>
        <v>47280</v>
      </c>
      <c r="V158" s="192">
        <f>VLOOKUP($N158,'2014 placeholder'!$A$4:$T$257,K$146+12,FALSE)</f>
        <v>50520</v>
      </c>
      <c r="W158" s="192">
        <f>VLOOKUP($N158,'2014 placeholder'!$A$4:$T$257,L$146+12,FALSE)</f>
        <v>53820</v>
      </c>
      <c r="Y158" s="192">
        <f>IF($B$18=$AU$10,VLOOKUP($N158,'2014 placeholder'!$A$4:$AK$257,E$146+29,FALSE),0)</f>
        <v>30240</v>
      </c>
      <c r="Z158" s="192">
        <f>IF($B$18=$AU$10,VLOOKUP($N158,'2014 placeholder'!$A$4:$AK$257,F$146+29,FALSE),0)</f>
        <v>34560</v>
      </c>
      <c r="AA158" s="192">
        <f>IF($B$18=$AU$10,VLOOKUP($N158,'2014 placeholder'!$A$4:$AK$257,G$146+29,FALSE),0)</f>
        <v>38880</v>
      </c>
      <c r="AB158" s="192">
        <f>IF($B$18=$AU$10,VLOOKUP($N158,'2014 placeholder'!$A$4:$AK$257,H$146+29,FALSE),0)</f>
        <v>43140</v>
      </c>
      <c r="AC158" s="192">
        <f>IF($B$18=$AU$10,VLOOKUP($N158,'2014 placeholder'!$A$4:$AK$257,I$146+29,FALSE),0)</f>
        <v>46620</v>
      </c>
      <c r="AD158" s="192">
        <f>IF($B$18=$AU$10,VLOOKUP($N158,'2014 placeholder'!$A$4:$AK$257,J$146+29,FALSE),0)</f>
        <v>50100</v>
      </c>
      <c r="AE158" s="192">
        <f>IF($B$18=$AU$10,VLOOKUP($N158,'2014 placeholder'!$A$4:$AK$257,K$146+29,FALSE),0)</f>
        <v>53520</v>
      </c>
      <c r="AF158" s="192">
        <f>IF($B$18=$AU$10,VLOOKUP($N158,'2014 placeholder'!$A$4:$AK$257,L$146+29,FALSE),0)</f>
        <v>57000</v>
      </c>
      <c r="AI158" s="189">
        <f t="shared" ref="AI158:AP158" si="232">+AI130*1.2</f>
        <v>0</v>
      </c>
      <c r="AJ158" s="189">
        <f t="shared" si="232"/>
        <v>0</v>
      </c>
      <c r="AK158" s="189">
        <f t="shared" si="232"/>
        <v>0</v>
      </c>
      <c r="AL158" s="189">
        <f t="shared" si="232"/>
        <v>0</v>
      </c>
      <c r="AM158" s="189">
        <f t="shared" si="232"/>
        <v>0</v>
      </c>
      <c r="AN158" s="189">
        <f t="shared" si="232"/>
        <v>0</v>
      </c>
      <c r="AO158" s="189">
        <f t="shared" si="232"/>
        <v>0</v>
      </c>
      <c r="AP158" s="189">
        <f t="shared" si="232"/>
        <v>0</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1</v>
      </c>
      <c r="C159" s="183">
        <f t="shared" si="214"/>
        <v>1</v>
      </c>
      <c r="E159" s="287">
        <f>+MAX(E158,E160)</f>
        <v>30360</v>
      </c>
      <c r="F159" s="287">
        <f t="shared" ref="F159:L159" si="233">+MAX(F158,F160)</f>
        <v>34680</v>
      </c>
      <c r="G159" s="287">
        <f t="shared" si="233"/>
        <v>39000</v>
      </c>
      <c r="H159" s="287">
        <f t="shared" si="233"/>
        <v>43320</v>
      </c>
      <c r="I159" s="287">
        <f t="shared" si="233"/>
        <v>46800</v>
      </c>
      <c r="J159" s="287">
        <f t="shared" si="233"/>
        <v>50280</v>
      </c>
      <c r="K159" s="287">
        <f t="shared" si="233"/>
        <v>53760</v>
      </c>
      <c r="L159" s="287">
        <f t="shared" si="233"/>
        <v>57240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1</v>
      </c>
      <c r="C160" s="183">
        <f t="shared" si="214"/>
        <v>1</v>
      </c>
      <c r="E160" s="288">
        <f t="shared" ref="E160:L160" si="234">+MAX(P160,Y160,AI160)</f>
        <v>30360</v>
      </c>
      <c r="F160" s="288">
        <f t="shared" si="234"/>
        <v>34680</v>
      </c>
      <c r="G160" s="288">
        <f t="shared" si="234"/>
        <v>39000</v>
      </c>
      <c r="H160" s="288">
        <f t="shared" si="234"/>
        <v>43320</v>
      </c>
      <c r="I160" s="288">
        <f t="shared" si="234"/>
        <v>46800</v>
      </c>
      <c r="J160" s="288">
        <f t="shared" si="234"/>
        <v>50280</v>
      </c>
      <c r="K160" s="288">
        <f t="shared" si="234"/>
        <v>53760</v>
      </c>
      <c r="L160" s="288">
        <f t="shared" si="234"/>
        <v>57240</v>
      </c>
      <c r="N160" s="95" t="str">
        <f>CONCATENATE(AU23,$B$11)</f>
        <v>4/21/2015 - 3/27/2016Kaufman</v>
      </c>
      <c r="P160" s="192">
        <f>VLOOKUP($N160,'2015 MTSP Limits'!$A$4:$T$257,E$146+12,FALSE)</f>
        <v>29580</v>
      </c>
      <c r="Q160" s="192">
        <f>VLOOKUP($N160,'2015 MTSP Limits'!$A$4:$T$257,F$146+12,FALSE)</f>
        <v>33840</v>
      </c>
      <c r="R160" s="192">
        <f>VLOOKUP($N160,'2015 MTSP Limits'!$A$4:$T$257,G$146+12,FALSE)</f>
        <v>38040</v>
      </c>
      <c r="S160" s="192">
        <f>VLOOKUP($N160,'2015 MTSP Limits'!$A$4:$T$257,H$146+12,FALSE)</f>
        <v>42240</v>
      </c>
      <c r="T160" s="192">
        <f>VLOOKUP($N160,'2015 MTSP Limits'!$A$4:$T$257,I$146+12,FALSE)</f>
        <v>45660</v>
      </c>
      <c r="U160" s="192">
        <f>VLOOKUP($N160,'2015 MTSP Limits'!$A$4:$T$257,J$146+12,FALSE)</f>
        <v>49020</v>
      </c>
      <c r="V160" s="192">
        <f>VLOOKUP($N160,'2015 MTSP Limits'!$A$4:$T$257,K$146+12,FALSE)</f>
        <v>52380</v>
      </c>
      <c r="W160" s="192">
        <f>VLOOKUP($N160,'2015 MTSP Limits'!$A$4:$T$257,L$146+12,FALSE)</f>
        <v>55800</v>
      </c>
      <c r="Y160" s="192">
        <f>IF($B$18=$AU$10,VLOOKUP($N160,'2015 MTSP Limits'!$A$4:$AK$257,E$118+29,FALSE),0)</f>
        <v>30360</v>
      </c>
      <c r="Z160" s="192">
        <f>IF($B$18=$AU$10,VLOOKUP($N160,'2015 MTSP Limits'!$A$4:$AK$257,F$118+29,FALSE),0)</f>
        <v>34680</v>
      </c>
      <c r="AA160" s="192">
        <f>IF($B$18=$AU$10,VLOOKUP($N160,'2015 MTSP Limits'!$A$4:$AK$257,G$118+29,FALSE),0)</f>
        <v>39000</v>
      </c>
      <c r="AB160" s="192">
        <f>IF($B$18=$AU$10,VLOOKUP($N160,'2015 MTSP Limits'!$A$4:$AK$257,H$118+29,FALSE),0)</f>
        <v>43320</v>
      </c>
      <c r="AC160" s="192">
        <f>IF($B$18=$AU$10,VLOOKUP($N160,'2015 MTSP Limits'!$A$4:$AK$257,I$118+29,FALSE),0)</f>
        <v>46800</v>
      </c>
      <c r="AD160" s="192">
        <f>IF($B$18=$AU$10,VLOOKUP($N160,'2015 MTSP Limits'!$A$4:$AK$257,J$118+29,FALSE),0)</f>
        <v>50280</v>
      </c>
      <c r="AE160" s="192">
        <f>IF($B$18=$AU$10,VLOOKUP($N160,'2015 MTSP Limits'!$A$4:$AK$257,K$118+29,FALSE),0)</f>
        <v>53760</v>
      </c>
      <c r="AF160" s="192">
        <f>IF($B$18=$AU$10,VLOOKUP($N160,'2015 MTSP Limits'!$A$4:$AK$257,L$118+29,FALSE),0)</f>
        <v>57240</v>
      </c>
      <c r="AI160" s="189">
        <f t="shared" ref="AI160:AP160" si="235">+AI132*1.2</f>
        <v>0</v>
      </c>
      <c r="AJ160" s="189">
        <f t="shared" si="235"/>
        <v>0</v>
      </c>
      <c r="AK160" s="189">
        <f t="shared" si="235"/>
        <v>0</v>
      </c>
      <c r="AL160" s="189">
        <f t="shared" si="235"/>
        <v>0</v>
      </c>
      <c r="AM160" s="189">
        <f t="shared" si="235"/>
        <v>0</v>
      </c>
      <c r="AN160" s="189">
        <f t="shared" si="235"/>
        <v>0</v>
      </c>
      <c r="AO160" s="189">
        <f t="shared" si="235"/>
        <v>0</v>
      </c>
      <c r="AP160" s="189">
        <f t="shared" si="235"/>
        <v>0</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1</v>
      </c>
      <c r="C161" s="183">
        <f t="shared" si="214"/>
        <v>1</v>
      </c>
      <c r="D161" s="6"/>
      <c r="E161" s="287">
        <f>+MAX(E160,E162)</f>
        <v>30960</v>
      </c>
      <c r="F161" s="287">
        <f t="shared" ref="F161:L161" si="236">+MAX(F160,F162)</f>
        <v>35340</v>
      </c>
      <c r="G161" s="287">
        <f t="shared" si="236"/>
        <v>39780</v>
      </c>
      <c r="H161" s="287">
        <f t="shared" si="236"/>
        <v>44160</v>
      </c>
      <c r="I161" s="287">
        <f t="shared" si="236"/>
        <v>47700</v>
      </c>
      <c r="J161" s="287">
        <f t="shared" si="236"/>
        <v>51240</v>
      </c>
      <c r="K161" s="287">
        <f t="shared" si="236"/>
        <v>54780</v>
      </c>
      <c r="L161" s="287">
        <f t="shared" si="236"/>
        <v>58320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1</v>
      </c>
      <c r="C162" s="183">
        <f t="shared" si="214"/>
        <v>1</v>
      </c>
      <c r="D162" s="6"/>
      <c r="E162" s="288">
        <f t="shared" ref="E162:L162" si="237">+MAX(P162,Y162,AI162)</f>
        <v>30960</v>
      </c>
      <c r="F162" s="288">
        <f t="shared" si="237"/>
        <v>35340</v>
      </c>
      <c r="G162" s="288">
        <f t="shared" si="237"/>
        <v>39780</v>
      </c>
      <c r="H162" s="288">
        <f t="shared" si="237"/>
        <v>44160</v>
      </c>
      <c r="I162" s="288">
        <f t="shared" si="237"/>
        <v>47700</v>
      </c>
      <c r="J162" s="288">
        <f t="shared" si="237"/>
        <v>51240</v>
      </c>
      <c r="K162" s="288">
        <f t="shared" si="237"/>
        <v>54780</v>
      </c>
      <c r="L162" s="288">
        <f t="shared" si="237"/>
        <v>58320</v>
      </c>
      <c r="M162" s="6"/>
      <c r="N162" s="95" t="str">
        <f>CONCATENATE(AU25,$B$11)</f>
        <v>5/13/2016 - 4/13/2017Kaufman</v>
      </c>
      <c r="O162" s="6"/>
      <c r="P162" s="192">
        <f>VLOOKUP($N162,MTSP2016!$A$4:$T$257,E$146+12,FALSE)</f>
        <v>30120</v>
      </c>
      <c r="Q162" s="192">
        <f>VLOOKUP($N162,MTSP2016!$A$4:$T$257,F$146+12,FALSE)</f>
        <v>34440</v>
      </c>
      <c r="R162" s="192">
        <f>VLOOKUP($N162,MTSP2016!$A$4:$T$257,G$146+12,FALSE)</f>
        <v>38760</v>
      </c>
      <c r="S162" s="192">
        <f>VLOOKUP($N162,MTSP2016!$A$4:$T$257,H$146+12,FALSE)</f>
        <v>43020</v>
      </c>
      <c r="T162" s="192">
        <f>VLOOKUP($N162,MTSP2016!$A$4:$T$257,I$146+12,FALSE)</f>
        <v>46500</v>
      </c>
      <c r="U162" s="192">
        <f>VLOOKUP($N162,MTSP2016!$A$4:$T$257,J$146+12,FALSE)</f>
        <v>49920</v>
      </c>
      <c r="V162" s="192">
        <f>VLOOKUP($N162,MTSP2016!$A$4:$T$257,K$146+12,FALSE)</f>
        <v>53400</v>
      </c>
      <c r="W162" s="192">
        <f>VLOOKUP($N162,MTSP2016!$A$4:$T$257,L$146+12,FALSE)</f>
        <v>56820</v>
      </c>
      <c r="Y162" s="192">
        <f>IF($B$18=$AU$10,VLOOKUP($N162,MTSP2016!$A$4:$AK$257,E$118+29,FALSE),0)</f>
        <v>30960</v>
      </c>
      <c r="Z162" s="192">
        <f>IF($B$18=$AU$10,VLOOKUP($N162,MTSP2016!$A$4:$AK$257,F$118+29,FALSE),0)</f>
        <v>35340</v>
      </c>
      <c r="AA162" s="192">
        <f>IF($B$18=$AU$10,VLOOKUP($N162,MTSP2016!$A$4:$AK$257,G$118+29,FALSE),0)</f>
        <v>39780</v>
      </c>
      <c r="AB162" s="192">
        <f>IF($B$18=$AU$10,VLOOKUP($N162,MTSP2016!$A$4:$AK$257,H$118+29,FALSE),0)</f>
        <v>44160</v>
      </c>
      <c r="AC162" s="192">
        <f>IF($B$18=$AU$10,VLOOKUP($N162,MTSP2016!$A$4:$AK$257,I$118+29,FALSE),0)</f>
        <v>47700</v>
      </c>
      <c r="AD162" s="192">
        <f>IF($B$18=$AU$10,VLOOKUP($N162,MTSP2016!$A$4:$AK$257,J$118+29,FALSE),0)</f>
        <v>51240</v>
      </c>
      <c r="AE162" s="192">
        <f>IF($B$18=$AU$10,VLOOKUP($N162,MTSP2016!$A$4:$AK$257,K$118+29,FALSE),0)</f>
        <v>54780</v>
      </c>
      <c r="AF162" s="192">
        <f>IF($B$18=$AU$10,VLOOKUP($N162,MTSP2016!$A$4:$AK$257,L$118+29,FALSE),0)</f>
        <v>58320</v>
      </c>
      <c r="AG162" s="6"/>
      <c r="AH162" s="6"/>
      <c r="AI162" s="189">
        <f t="shared" ref="AI162:AP162" si="238">+AI134*1.2</f>
        <v>0</v>
      </c>
      <c r="AJ162" s="189">
        <f t="shared" si="238"/>
        <v>0</v>
      </c>
      <c r="AK162" s="189">
        <f t="shared" si="238"/>
        <v>0</v>
      </c>
      <c r="AL162" s="189">
        <f t="shared" si="238"/>
        <v>0</v>
      </c>
      <c r="AM162" s="189">
        <f t="shared" si="238"/>
        <v>0</v>
      </c>
      <c r="AN162" s="189">
        <f t="shared" si="238"/>
        <v>0</v>
      </c>
      <c r="AO162" s="189">
        <f t="shared" si="238"/>
        <v>0</v>
      </c>
      <c r="AP162" s="189">
        <f t="shared" si="238"/>
        <v>0</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1</v>
      </c>
      <c r="C163" s="290">
        <f t="shared" si="214"/>
        <v>1</v>
      </c>
      <c r="E163" s="287">
        <f>+MAX(E162,E164)</f>
        <v>31680</v>
      </c>
      <c r="F163" s="287">
        <f t="shared" ref="F163:L165" si="239">+MAX(F162,F164)</f>
        <v>36180</v>
      </c>
      <c r="G163" s="287">
        <f t="shared" si="239"/>
        <v>40680</v>
      </c>
      <c r="H163" s="287">
        <f t="shared" si="239"/>
        <v>45180</v>
      </c>
      <c r="I163" s="287">
        <f t="shared" si="239"/>
        <v>48840</v>
      </c>
      <c r="J163" s="287">
        <f t="shared" si="239"/>
        <v>52440</v>
      </c>
      <c r="K163" s="287">
        <f t="shared" si="239"/>
        <v>56040</v>
      </c>
      <c r="L163" s="287">
        <f t="shared" si="239"/>
        <v>59640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3176</v>
      </c>
    </row>
    <row r="164" spans="1:61" s="202" customFormat="1" ht="15" hidden="1" customHeight="1">
      <c r="A164" s="183">
        <f t="shared" si="213"/>
        <v>0</v>
      </c>
      <c r="B164" s="183">
        <f t="shared" si="216"/>
        <v>1</v>
      </c>
      <c r="C164" s="183">
        <f t="shared" si="214"/>
        <v>1</v>
      </c>
      <c r="E164" s="289">
        <f t="shared" ref="E164:L164" si="240">+MAX(P164,Y164,AI164)</f>
        <v>31680</v>
      </c>
      <c r="F164" s="289">
        <f t="shared" si="240"/>
        <v>36180</v>
      </c>
      <c r="G164" s="289">
        <f t="shared" si="240"/>
        <v>40680</v>
      </c>
      <c r="H164" s="289">
        <f t="shared" si="240"/>
        <v>45180</v>
      </c>
      <c r="I164" s="289">
        <f t="shared" si="240"/>
        <v>48840</v>
      </c>
      <c r="J164" s="289">
        <f t="shared" si="240"/>
        <v>52440</v>
      </c>
      <c r="K164" s="289">
        <f t="shared" si="240"/>
        <v>56040</v>
      </c>
      <c r="L164" s="289">
        <f t="shared" si="240"/>
        <v>59640</v>
      </c>
      <c r="N164" s="213" t="str">
        <f>CONCATENATE(AU27,$B$11)</f>
        <v>5/30/2017 - 3/31/2018Kaufman</v>
      </c>
      <c r="P164" s="192">
        <f>VLOOKUP(N164,MTSP2017!A4:T257,E$146+12,FALSE)</f>
        <v>30840</v>
      </c>
      <c r="Q164" s="192">
        <f>VLOOKUP(N164,MTSP2017!A4:T257,F$146+12,FALSE)</f>
        <v>35280</v>
      </c>
      <c r="R164" s="192">
        <f>VLOOKUP(N164,MTSP2017!A4:T257,G$146+12,FALSE)</f>
        <v>39660</v>
      </c>
      <c r="S164" s="192">
        <f>VLOOKUP(N164,MTSP2017!A4:T257,H$146+12,FALSE)</f>
        <v>44040</v>
      </c>
      <c r="T164" s="192">
        <f>VLOOKUP(N164,MTSP2017!A4:T257,I$146+12,FALSE)</f>
        <v>47580</v>
      </c>
      <c r="U164" s="192">
        <f>VLOOKUP(N164,MTSP2017!A4:T257,J$146+12,FALSE)</f>
        <v>51120</v>
      </c>
      <c r="V164" s="192">
        <f>VLOOKUP(N164,MTSP2017!A4:T257,K$146+12,FALSE)</f>
        <v>54660</v>
      </c>
      <c r="W164" s="192">
        <f>VLOOKUP(N164,MTSP2017!A4:T257,L$146+12,FALSE)</f>
        <v>58140</v>
      </c>
      <c r="Y164" s="192">
        <f>IF($B$18=$AU$10,VLOOKUP($N164,MTSP2017!A4:AK257,E$118+29,FALSE),0)</f>
        <v>31680</v>
      </c>
      <c r="Z164" s="192">
        <f>IF($B$18=$AU$10,VLOOKUP($N164,MTSP2017!A4:AK257,F$118+29,FALSE),0)</f>
        <v>36180</v>
      </c>
      <c r="AA164" s="192">
        <f>IF($B$18=$AU$10,VLOOKUP($N164,MTSP2017!A4:AK257,G$118+29,FALSE),0)</f>
        <v>40680</v>
      </c>
      <c r="AB164" s="192">
        <f>IF($B$18=$AU$10,VLOOKUP($N164,MTSP2017!A4:AK257,H$118+29,FALSE),0)</f>
        <v>45180</v>
      </c>
      <c r="AC164" s="192">
        <f>IF($B$18=$AU$10,VLOOKUP($N164,MTSP2017!A4:AK257,I$118+29,FALSE),0)</f>
        <v>48840</v>
      </c>
      <c r="AD164" s="192">
        <f>IF($B$18=$AU$10,VLOOKUP($N164,MTSP2017!A4:AK257,J$118+29,FALSE),0)</f>
        <v>52440</v>
      </c>
      <c r="AE164" s="192">
        <f>IF($B$18=$AU$10,VLOOKUP($N164,MTSP2017!A4:AK257,K$118+29,FALSE),0)</f>
        <v>56040</v>
      </c>
      <c r="AF164" s="192">
        <f>IF($B$18=$AU$10,VLOOKUP($N164,MTSP2017!A4:AK257,L$118+29,FALSE),0)</f>
        <v>59640</v>
      </c>
      <c r="AI164" s="192">
        <f t="shared" ref="AI164:AP164" si="241">+AI136*1.2</f>
        <v>0</v>
      </c>
      <c r="AJ164" s="192">
        <f t="shared" si="241"/>
        <v>0</v>
      </c>
      <c r="AK164" s="192">
        <f t="shared" si="241"/>
        <v>0</v>
      </c>
      <c r="AL164" s="192">
        <f t="shared" si="241"/>
        <v>0</v>
      </c>
      <c r="AM164" s="192">
        <f t="shared" si="241"/>
        <v>0</v>
      </c>
      <c r="AN164" s="192">
        <f t="shared" si="241"/>
        <v>0</v>
      </c>
      <c r="AO164" s="192">
        <f t="shared" si="241"/>
        <v>0</v>
      </c>
      <c r="AP164" s="192">
        <f t="shared" si="241"/>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1</v>
      </c>
      <c r="C165" s="183">
        <f t="shared" si="214"/>
        <v>1</v>
      </c>
      <c r="D165" s="202"/>
      <c r="E165" s="287">
        <f>+MAX(E164,E166)</f>
        <v>33300</v>
      </c>
      <c r="F165" s="287">
        <f t="shared" si="239"/>
        <v>38040</v>
      </c>
      <c r="G165" s="287">
        <f t="shared" si="239"/>
        <v>42780</v>
      </c>
      <c r="H165" s="287">
        <f t="shared" si="239"/>
        <v>47520</v>
      </c>
      <c r="I165" s="287">
        <f t="shared" si="239"/>
        <v>51360</v>
      </c>
      <c r="J165" s="287">
        <f t="shared" si="239"/>
        <v>55140</v>
      </c>
      <c r="K165" s="287">
        <f t="shared" si="239"/>
        <v>58980</v>
      </c>
      <c r="L165" s="287">
        <f t="shared" si="239"/>
        <v>62760</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1</v>
      </c>
      <c r="C166" s="183">
        <f t="shared" si="214"/>
        <v>1</v>
      </c>
      <c r="D166" s="202"/>
      <c r="E166" s="289">
        <f t="shared" ref="E166:L166" si="243">+MAX(P166,Y166,AI166)</f>
        <v>33300</v>
      </c>
      <c r="F166" s="289">
        <f t="shared" si="243"/>
        <v>38040</v>
      </c>
      <c r="G166" s="289">
        <f t="shared" si="243"/>
        <v>42780</v>
      </c>
      <c r="H166" s="289">
        <f t="shared" si="243"/>
        <v>47520</v>
      </c>
      <c r="I166" s="289">
        <f t="shared" si="243"/>
        <v>51360</v>
      </c>
      <c r="J166" s="289">
        <f t="shared" si="243"/>
        <v>55140</v>
      </c>
      <c r="K166" s="289">
        <f t="shared" si="243"/>
        <v>58980</v>
      </c>
      <c r="L166" s="289">
        <f t="shared" si="243"/>
        <v>62760</v>
      </c>
      <c r="M166" s="202"/>
      <c r="N166" s="213" t="str">
        <f>CONCATENATE(AU29,$B$11)</f>
        <v>5/17/2018 - 4/23/2019Kaufman</v>
      </c>
      <c r="O166" s="202"/>
      <c r="P166" s="192">
        <f>INDEX(MTSP2018!M3:M257,MATCH('Income-Rent Tool'!$N$166,MTSP2018!$A$3:$A$257,0))</f>
        <v>32460</v>
      </c>
      <c r="Q166" s="192">
        <f>INDEX(MTSP2018!N3:N257,MATCH('Income-Rent Tool'!$N$166,MTSP2018!$A$3:$A$257,0))</f>
        <v>37080</v>
      </c>
      <c r="R166" s="192">
        <f>INDEX(MTSP2018!O3:O257,MATCH('Income-Rent Tool'!$N$166,MTSP2018!$A$3:$A$257,0))</f>
        <v>41700</v>
      </c>
      <c r="S166" s="192">
        <f>INDEX(MTSP2018!P3:P257,MATCH('Income-Rent Tool'!$N$166,MTSP2018!$A$3:$A$257,0))</f>
        <v>46320</v>
      </c>
      <c r="T166" s="192">
        <f>INDEX(MTSP2018!Q3:Q257,MATCH('Income-Rent Tool'!$N$166,MTSP2018!$A$3:$A$257,0))</f>
        <v>50040</v>
      </c>
      <c r="U166" s="192">
        <f>INDEX(MTSP2018!R3:R257,MATCH('Income-Rent Tool'!$N$166,MTSP2018!$A$3:$A$257,0))</f>
        <v>53760</v>
      </c>
      <c r="V166" s="192">
        <f>INDEX(MTSP2018!S3:S257,MATCH('Income-Rent Tool'!$N$166,MTSP2018!$A$3:$A$257,0))</f>
        <v>57480</v>
      </c>
      <c r="W166" s="192">
        <f>INDEX(MTSP2018!T3:T257,MATCH('Income-Rent Tool'!$N$166,MTSP2018!$A$3:$A$257,0))</f>
        <v>61200</v>
      </c>
      <c r="X166" s="202"/>
      <c r="Y166" s="192">
        <f>IF($B$18=$AU$10,VLOOKUP($N166,MTSP2018!$A$3:$AR$257,E$118+29,FALSE),0)</f>
        <v>33300</v>
      </c>
      <c r="Z166" s="192">
        <f>IF($B$18=$AU$10,VLOOKUP($N166,MTSP2018!$A$3:$AR$257,F$118+29,FALSE),0)</f>
        <v>38040</v>
      </c>
      <c r="AA166" s="192">
        <f>IF($B$18=$AU$10,VLOOKUP($N166,MTSP2018!$A$3:$AR$257,G$118+29,FALSE),0)</f>
        <v>42780</v>
      </c>
      <c r="AB166" s="192">
        <f>IF($B$18=$AU$10,VLOOKUP($N166,MTSP2018!$A$3:$AR$257,H$118+29,FALSE),0)</f>
        <v>47520</v>
      </c>
      <c r="AC166" s="192">
        <f>IF($B$18=$AU$10,VLOOKUP($N166,MTSP2018!$A$3:$AR$257,I$118+29,FALSE),0)</f>
        <v>51360</v>
      </c>
      <c r="AD166" s="192">
        <f>IF($B$18=$AU$10,VLOOKUP($N166,MTSP2018!$A$3:$AR$257,J$118+29,FALSE),0)</f>
        <v>55140</v>
      </c>
      <c r="AE166" s="192">
        <f>IF($B$18=$AU$10,VLOOKUP($N166,MTSP2018!$A$3:$AR$257,K$118+29,FALSE),0)</f>
        <v>58980</v>
      </c>
      <c r="AF166" s="192">
        <f>IF($B$18=$AU$10,VLOOKUP($N166,MTSP2018!$A$3:$AR$257,L$118+29,FALSE),0)</f>
        <v>62760</v>
      </c>
      <c r="AG166" s="202"/>
      <c r="AH166" s="202"/>
      <c r="AI166" s="192">
        <f t="shared" ref="AI166:AP166" si="244">+AI138*1.2</f>
        <v>0</v>
      </c>
      <c r="AJ166" s="192">
        <f t="shared" si="244"/>
        <v>0</v>
      </c>
      <c r="AK166" s="192">
        <f t="shared" si="244"/>
        <v>0</v>
      </c>
      <c r="AL166" s="192">
        <f t="shared" si="244"/>
        <v>0</v>
      </c>
      <c r="AM166" s="192">
        <f t="shared" si="244"/>
        <v>0</v>
      </c>
      <c r="AN166" s="192">
        <f t="shared" si="244"/>
        <v>0</v>
      </c>
      <c r="AO166" s="192">
        <f t="shared" si="244"/>
        <v>0</v>
      </c>
      <c r="AP166" s="192">
        <f t="shared" si="244"/>
        <v>0</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1</v>
      </c>
      <c r="C167" s="183">
        <f t="shared" si="214"/>
        <v>1</v>
      </c>
      <c r="D167" s="202"/>
      <c r="E167" s="287">
        <f>+MAX(E166,E168)</f>
        <v>35880</v>
      </c>
      <c r="F167" s="287">
        <f t="shared" ref="F167:L167" si="245">+MAX(F166,F168)</f>
        <v>40980</v>
      </c>
      <c r="G167" s="287">
        <f t="shared" si="245"/>
        <v>46080</v>
      </c>
      <c r="H167" s="287">
        <f t="shared" si="245"/>
        <v>51180</v>
      </c>
      <c r="I167" s="287">
        <f t="shared" si="245"/>
        <v>55320</v>
      </c>
      <c r="J167" s="287">
        <f t="shared" si="245"/>
        <v>59400</v>
      </c>
      <c r="K167" s="287">
        <f t="shared" si="245"/>
        <v>63480</v>
      </c>
      <c r="L167" s="287">
        <f t="shared" si="245"/>
        <v>67560</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1</v>
      </c>
      <c r="C168" s="296">
        <f t="shared" si="214"/>
        <v>1</v>
      </c>
      <c r="D168" s="202"/>
      <c r="E168" s="297">
        <f t="shared" ref="E168:L168" si="246">+MAX(P168,Y168,AI168)</f>
        <v>35880</v>
      </c>
      <c r="F168" s="297">
        <f t="shared" si="246"/>
        <v>40980</v>
      </c>
      <c r="G168" s="297">
        <f t="shared" si="246"/>
        <v>46080</v>
      </c>
      <c r="H168" s="297">
        <f t="shared" si="246"/>
        <v>51180</v>
      </c>
      <c r="I168" s="297">
        <f t="shared" si="246"/>
        <v>55320</v>
      </c>
      <c r="J168" s="297">
        <f t="shared" si="246"/>
        <v>59400</v>
      </c>
      <c r="K168" s="297">
        <f t="shared" si="246"/>
        <v>63480</v>
      </c>
      <c r="L168" s="297">
        <f t="shared" si="246"/>
        <v>67560</v>
      </c>
      <c r="M168" s="202"/>
      <c r="N168" s="298" t="str">
        <f>CONCATENATE(AU31,$B$11)</f>
        <v>6/9/2019 - 3/31/2020Kaufman</v>
      </c>
      <c r="O168" s="202"/>
      <c r="P168" s="299">
        <f>INDEX(MTSP2019!M3:M257,MATCH('Income-Rent Tool'!$N$168,MTSP2019!$A$3:$A$257,0))</f>
        <v>34920</v>
      </c>
      <c r="Q168" s="299">
        <f>INDEX(MTSP2019!N3:N257,MATCH('Income-Rent Tool'!$N$168,MTSP2019!$A$3:$A$257,0))</f>
        <v>39900</v>
      </c>
      <c r="R168" s="299">
        <f>INDEX(MTSP2019!O3:O257,MATCH('Income-Rent Tool'!$N$168,MTSP2019!$A$3:$A$257,0))</f>
        <v>44880</v>
      </c>
      <c r="S168" s="299">
        <f>INDEX(MTSP2019!P3:P257,MATCH('Income-Rent Tool'!$N$168,MTSP2019!$A$3:$A$257,0))</f>
        <v>49860</v>
      </c>
      <c r="T168" s="299">
        <f>INDEX(MTSP2019!Q3:Q257,MATCH('Income-Rent Tool'!$N$168,MTSP2019!$A$3:$A$257,0))</f>
        <v>53880</v>
      </c>
      <c r="U168" s="299">
        <f>INDEX(MTSP2019!R3:R257,MATCH('Income-Rent Tool'!$N$168,MTSP2019!$A$3:$A$257,0))</f>
        <v>57840</v>
      </c>
      <c r="V168" s="299">
        <f>INDEX(MTSP2019!S3:S257,MATCH('Income-Rent Tool'!$N$168,MTSP2019!$A$3:$A$257,0))</f>
        <v>61860</v>
      </c>
      <c r="W168" s="299">
        <f>INDEX(MTSP2019!T3:T257,MATCH('Income-Rent Tool'!$N$168,MTSP2019!$A$3:$A$257,0))</f>
        <v>65820</v>
      </c>
      <c r="X168" s="202"/>
      <c r="Y168" s="299">
        <f>IF($B$18=$AU$10,VLOOKUP($N168,MTSP2019!$A$3:$AR$257,E$118+29,FALSE),0)</f>
        <v>35880</v>
      </c>
      <c r="Z168" s="299">
        <f>IF($B$18=$AU$10,VLOOKUP($N168,MTSP2019!$A$3:$AR$257,F$118+29,FALSE),0)</f>
        <v>40980</v>
      </c>
      <c r="AA168" s="299">
        <f>IF($B$18=$AU$10,VLOOKUP($N168,MTSP2019!$A$3:$AR$257,G$118+29,FALSE),0)</f>
        <v>46080</v>
      </c>
      <c r="AB168" s="299">
        <f>IF($B$18=$AU$10,VLOOKUP($N168,MTSP2019!$A$3:$AR$257,H$118+29,FALSE),0)</f>
        <v>51180</v>
      </c>
      <c r="AC168" s="299">
        <f>IF($B$18=$AU$10,VLOOKUP($N168,MTSP2019!$A$3:$AR$257,I$118+29,FALSE),0)</f>
        <v>55320</v>
      </c>
      <c r="AD168" s="299">
        <f>IF($B$18=$AU$10,VLOOKUP($N168,MTSP2019!$A$3:$AR$257,J$118+29,FALSE),0)</f>
        <v>59400</v>
      </c>
      <c r="AE168" s="299">
        <f>IF($B$18=$AU$10,VLOOKUP($N168,MTSP2019!$A$3:$AR$257,K$118+29,FALSE),0)</f>
        <v>63480</v>
      </c>
      <c r="AF168" s="299">
        <f>IF($B$18=$AU$10,VLOOKUP($N168,MTSP2019!$A$3:$AR$257,L$118+29,FALSE),0)</f>
        <v>67560</v>
      </c>
      <c r="AG168" s="202"/>
      <c r="AH168" s="202"/>
      <c r="AI168" s="299">
        <f t="shared" ref="AI168:AP168" si="247">+AI140*1.2</f>
        <v>0</v>
      </c>
      <c r="AJ168" s="299">
        <f t="shared" si="247"/>
        <v>0</v>
      </c>
      <c r="AK168" s="299">
        <f t="shared" si="247"/>
        <v>0</v>
      </c>
      <c r="AL168" s="299">
        <f t="shared" si="247"/>
        <v>0</v>
      </c>
      <c r="AM168" s="299">
        <f t="shared" si="247"/>
        <v>0</v>
      </c>
      <c r="AN168" s="299">
        <f t="shared" si="247"/>
        <v>0</v>
      </c>
      <c r="AO168" s="299">
        <f t="shared" si="247"/>
        <v>0</v>
      </c>
      <c r="AP168" s="299">
        <f t="shared" si="247"/>
        <v>0</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1</v>
      </c>
      <c r="C169" s="183">
        <f t="shared" si="214"/>
        <v>1</v>
      </c>
      <c r="D169" s="202"/>
      <c r="E169" s="287">
        <f>+MAX(E168,E170)</f>
        <v>37200</v>
      </c>
      <c r="F169" s="287">
        <f t="shared" ref="F169:L169" si="248">+MAX(F168,F170)</f>
        <v>42480</v>
      </c>
      <c r="G169" s="287">
        <f t="shared" si="248"/>
        <v>47820</v>
      </c>
      <c r="H169" s="287">
        <f t="shared" si="248"/>
        <v>53100</v>
      </c>
      <c r="I169" s="287">
        <f t="shared" si="248"/>
        <v>57360</v>
      </c>
      <c r="J169" s="287">
        <f t="shared" si="248"/>
        <v>61620</v>
      </c>
      <c r="K169" s="287">
        <f t="shared" si="248"/>
        <v>65880</v>
      </c>
      <c r="L169" s="287">
        <f t="shared" si="248"/>
        <v>70140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1</v>
      </c>
      <c r="C170" s="296">
        <f t="shared" si="214"/>
        <v>1</v>
      </c>
      <c r="D170" s="202"/>
      <c r="E170" s="297">
        <f t="shared" ref="E170" si="249">+MAX(P170,Y170,AI170)</f>
        <v>37200</v>
      </c>
      <c r="F170" s="297">
        <f t="shared" ref="F170" si="250">+MAX(Q170,Z170,AJ170)</f>
        <v>42480</v>
      </c>
      <c r="G170" s="297">
        <f t="shared" ref="G170" si="251">+MAX(R170,AA170,AK170)</f>
        <v>47820</v>
      </c>
      <c r="H170" s="297">
        <f t="shared" ref="H170" si="252">+MAX(S170,AB170,AL170)</f>
        <v>53100</v>
      </c>
      <c r="I170" s="297">
        <f t="shared" ref="I170" si="253">+MAX(T170,AC170,AM170)</f>
        <v>57360</v>
      </c>
      <c r="J170" s="297">
        <f t="shared" ref="J170" si="254">+MAX(U170,AD170,AN170)</f>
        <v>61620</v>
      </c>
      <c r="K170" s="297">
        <f t="shared" ref="K170" si="255">+MAX(V170,AE170,AO170)</f>
        <v>65880</v>
      </c>
      <c r="L170" s="297">
        <f t="shared" ref="L170" si="256">+MAX(W170,AF170,AP170)</f>
        <v>70140</v>
      </c>
      <c r="M170" s="202"/>
      <c r="N170" s="298" t="str">
        <f>CONCATENATE(AU33,$B$11)</f>
        <v>5/17/2020 - 3/31/2021Kaufman</v>
      </c>
      <c r="O170" s="202"/>
      <c r="P170" s="299">
        <f>INDEX(MTSP2020!M3:M257,MATCH('Income-Rent Tool'!$N$170,MTSP2020!$A$3:$A$257,0))</f>
        <v>36240</v>
      </c>
      <c r="Q170" s="299">
        <f>INDEX(MTSP2020!N3:N257,MATCH('Income-Rent Tool'!$N$170,MTSP2020!$A$3:$A$257,0))</f>
        <v>41400</v>
      </c>
      <c r="R170" s="299">
        <f>INDEX(MTSP2020!O3:O257,MATCH('Income-Rent Tool'!$N$170,MTSP2020!$A$3:$A$257,0))</f>
        <v>46560</v>
      </c>
      <c r="S170" s="299">
        <f>INDEX(MTSP2020!P3:P257,MATCH('Income-Rent Tool'!$N$170,MTSP2020!$A$3:$A$257,0))</f>
        <v>51720</v>
      </c>
      <c r="T170" s="299">
        <f>INDEX(MTSP2020!Q3:Q257,MATCH('Income-Rent Tool'!$N$170,MTSP2020!$A$3:$A$257,0))</f>
        <v>55860</v>
      </c>
      <c r="U170" s="299">
        <f>INDEX(MTSP2020!R3:R257,MATCH('Income-Rent Tool'!$N$170,MTSP2020!$A$3:$A$257,0))</f>
        <v>60000</v>
      </c>
      <c r="V170" s="299">
        <f>INDEX(MTSP2020!S3:S257,MATCH('Income-Rent Tool'!$N$170,MTSP2020!$A$3:$A$257,0))</f>
        <v>64140</v>
      </c>
      <c r="W170" s="299">
        <f>INDEX(MTSP2020!T3:T257,MATCH('Income-Rent Tool'!$N$170,MTSP2020!$A$3:$A$257,0))</f>
        <v>68280</v>
      </c>
      <c r="X170" s="202"/>
      <c r="Y170" s="299">
        <f>IF($B$18=$AU$10,VLOOKUP($N170,MTSP2020!$A$3:$AR$257,E$118+29,FALSE),0)</f>
        <v>37200</v>
      </c>
      <c r="Z170" s="299">
        <f>IF($B$18=$AU$10,VLOOKUP($N170,MTSP2020!$A$3:$AR$257,F$118+29,FALSE),0)</f>
        <v>42480</v>
      </c>
      <c r="AA170" s="299">
        <f>IF($B$18=$AU$10,VLOOKUP($N170,MTSP2020!$A$3:$AR$257,G$118+29,FALSE),0)</f>
        <v>47820</v>
      </c>
      <c r="AB170" s="299">
        <f>IF($B$18=$AU$10,VLOOKUP($N170,MTSP2020!$A$3:$AR$257,H$118+29,FALSE),0)</f>
        <v>53100</v>
      </c>
      <c r="AC170" s="299">
        <f>IF($B$18=$AU$10,VLOOKUP($N170,MTSP2020!$A$3:$AR$257,I$118+29,FALSE),0)</f>
        <v>57360</v>
      </c>
      <c r="AD170" s="299">
        <f>IF($B$18=$AU$10,VLOOKUP($N170,MTSP2020!$A$3:$AR$257,J$118+29,FALSE),0)</f>
        <v>61620</v>
      </c>
      <c r="AE170" s="299">
        <f>IF($B$18=$AU$10,VLOOKUP($N170,MTSP2020!$A$3:$AR$257,K$118+29,FALSE),0)</f>
        <v>65880</v>
      </c>
      <c r="AF170" s="299">
        <f>IF($B$18=$AU$10,VLOOKUP($N170,MTSP2020!$A$3:$AR$257,L$118+29,FALSE),0)</f>
        <v>70140</v>
      </c>
      <c r="AG170" s="202"/>
      <c r="AH170" s="202"/>
      <c r="AI170" s="299">
        <f t="shared" ref="AI170:AP170" si="257">+AI142*1.2</f>
        <v>0</v>
      </c>
      <c r="AJ170" s="299">
        <f t="shared" si="257"/>
        <v>0</v>
      </c>
      <c r="AK170" s="299">
        <f t="shared" si="257"/>
        <v>0</v>
      </c>
      <c r="AL170" s="299">
        <f t="shared" si="257"/>
        <v>0</v>
      </c>
      <c r="AM170" s="299">
        <f t="shared" si="257"/>
        <v>0</v>
      </c>
      <c r="AN170" s="299">
        <f t="shared" si="257"/>
        <v>0</v>
      </c>
      <c r="AO170" s="299">
        <f t="shared" si="257"/>
        <v>0</v>
      </c>
      <c r="AP170" s="299">
        <f t="shared" si="257"/>
        <v>0</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1</v>
      </c>
      <c r="C171" s="183">
        <f t="shared" si="214"/>
        <v>1</v>
      </c>
      <c r="D171" s="202"/>
      <c r="E171" s="287">
        <f>+MAX(E170,E172)</f>
        <v>38400</v>
      </c>
      <c r="F171" s="287">
        <f t="shared" ref="F171:L171" si="258">+MAX(F170,F172)</f>
        <v>43860</v>
      </c>
      <c r="G171" s="287">
        <f t="shared" si="258"/>
        <v>49320</v>
      </c>
      <c r="H171" s="287">
        <f t="shared" si="258"/>
        <v>54780</v>
      </c>
      <c r="I171" s="287">
        <f t="shared" si="258"/>
        <v>59220</v>
      </c>
      <c r="J171" s="287">
        <f t="shared" si="258"/>
        <v>63600</v>
      </c>
      <c r="K171" s="287">
        <f t="shared" si="258"/>
        <v>67980</v>
      </c>
      <c r="L171" s="287">
        <f t="shared" si="258"/>
        <v>72360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1</v>
      </c>
      <c r="C172" s="296">
        <f t="shared" si="214"/>
        <v>1</v>
      </c>
      <c r="D172" s="202"/>
      <c r="E172" s="297">
        <f t="shared" ref="E172" si="259">+MAX(P172,Y172,AI172)</f>
        <v>38400</v>
      </c>
      <c r="F172" s="297">
        <f t="shared" ref="F172" si="260">+MAX(Q172,Z172,AJ172)</f>
        <v>43860</v>
      </c>
      <c r="G172" s="297">
        <f t="shared" ref="G172" si="261">+MAX(R172,AA172,AK172)</f>
        <v>49320</v>
      </c>
      <c r="H172" s="297">
        <f t="shared" ref="H172" si="262">+MAX(S172,AB172,AL172)</f>
        <v>54780</v>
      </c>
      <c r="I172" s="297">
        <f t="shared" ref="I172" si="263">+MAX(T172,AC172,AM172)</f>
        <v>59220</v>
      </c>
      <c r="J172" s="297">
        <f t="shared" ref="J172" si="264">+MAX(U172,AD172,AN172)</f>
        <v>63600</v>
      </c>
      <c r="K172" s="297">
        <f t="shared" ref="K172" si="265">+MAX(V172,AE172,AO172)</f>
        <v>67980</v>
      </c>
      <c r="L172" s="297">
        <f t="shared" ref="L172" si="266">+MAX(W172,AF172,AP172)</f>
        <v>72360</v>
      </c>
      <c r="M172" s="202"/>
      <c r="N172" s="298" t="str">
        <f>CONCATENATE(AU35,$B$11)</f>
        <v>On or After 5/17/2021Kaufman</v>
      </c>
      <c r="O172" s="202"/>
      <c r="P172" s="299">
        <f>INDEX(MTSP2021!M3:M257,MATCH('Income-Rent Tool'!$N$172,MTSP2021!$A$3:$A$257,0))</f>
        <v>37380</v>
      </c>
      <c r="Q172" s="299">
        <f>INDEX(MTSP2021!N3:N257,MATCH('Income-Rent Tool'!$N$172,MTSP2021!$A$3:$A$257,0))</f>
        <v>42720</v>
      </c>
      <c r="R172" s="299">
        <f>INDEX(MTSP2021!O3:O257,MATCH('Income-Rent Tool'!$N$172,MTSP2021!$A$3:$A$257,0))</f>
        <v>48060</v>
      </c>
      <c r="S172" s="299">
        <f>INDEX(MTSP2021!P3:P257,MATCH('Income-Rent Tool'!$N$172,MTSP2021!$A$3:$A$257,0))</f>
        <v>53400</v>
      </c>
      <c r="T172" s="299">
        <f>INDEX(MTSP2021!Q3:Q257,MATCH('Income-Rent Tool'!$N$172,MTSP2021!$A$3:$A$257,0))</f>
        <v>57720</v>
      </c>
      <c r="U172" s="299">
        <f>INDEX(MTSP2021!R3:R257,MATCH('Income-Rent Tool'!$N$172,MTSP2021!$A$3:$A$257,0))</f>
        <v>61980</v>
      </c>
      <c r="V172" s="299">
        <f>INDEX(MTSP2021!S3:S257,MATCH('Income-Rent Tool'!$N$172,MTSP2021!$A$3:$A$257,0))</f>
        <v>66240</v>
      </c>
      <c r="W172" s="299">
        <f>INDEX(MTSP2021!T3:T257,MATCH('Income-Rent Tool'!$N$172,MTSP2021!$A$3:$A$257,0))</f>
        <v>70500</v>
      </c>
      <c r="X172" s="202"/>
      <c r="Y172" s="299">
        <f>IF($B$18=$AU$10,VLOOKUP($N172,MTSP2021!$A$3:$AR$257,E$118+29,FALSE),0)</f>
        <v>38400</v>
      </c>
      <c r="Z172" s="299">
        <f>IF($B$18=$AU$10,VLOOKUP($N172,MTSP2021!$A$3:$AR$257,F$118+29,FALSE),0)</f>
        <v>43860</v>
      </c>
      <c r="AA172" s="299">
        <f>IF($B$18=$AU$10,VLOOKUP($N172,MTSP2021!$A$3:$AR$257,G$118+29,FALSE),0)</f>
        <v>49320</v>
      </c>
      <c r="AB172" s="299">
        <f>IF($B$18=$AU$10,VLOOKUP($N172,MTSP2021!$A$3:$AR$257,H$118+29,FALSE),0)</f>
        <v>54780</v>
      </c>
      <c r="AC172" s="299">
        <f>IF($B$18=$AU$10,VLOOKUP($N172,MTSP2021!$A$3:$AR$257,I$118+29,FALSE),0)</f>
        <v>59220</v>
      </c>
      <c r="AD172" s="299">
        <f>IF($B$18=$AU$10,VLOOKUP($N172,MTSP2021!$A$3:$AR$257,J$118+29,FALSE),0)</f>
        <v>63600</v>
      </c>
      <c r="AE172" s="299">
        <f>IF($B$18=$AU$10,VLOOKUP($N172,MTSP2021!$A$3:$AR$257,K$118+29,FALSE),0)</f>
        <v>67980</v>
      </c>
      <c r="AF172" s="299">
        <f>IF($B$18=$AU$10,VLOOKUP($N172,MTSP2021!$A$3:$AR$257,L$118+29,FALSE),0)</f>
        <v>72360</v>
      </c>
      <c r="AG172" s="202"/>
      <c r="AH172" s="202"/>
      <c r="AI172" s="299">
        <f t="shared" ref="AI172:AP172" si="267">+AI144*1.2</f>
        <v>0</v>
      </c>
      <c r="AJ172" s="299">
        <f t="shared" si="267"/>
        <v>0</v>
      </c>
      <c r="AK172" s="299">
        <f t="shared" si="267"/>
        <v>0</v>
      </c>
      <c r="AL172" s="299">
        <f t="shared" si="267"/>
        <v>0</v>
      </c>
      <c r="AM172" s="299">
        <f t="shared" si="267"/>
        <v>0</v>
      </c>
      <c r="AN172" s="299">
        <f t="shared" si="267"/>
        <v>0</v>
      </c>
      <c r="AO172" s="299">
        <f t="shared" si="267"/>
        <v>0</v>
      </c>
      <c r="AP172" s="299">
        <f t="shared" si="267"/>
        <v>0</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71" t="s">
        <v>1412</v>
      </c>
      <c r="Q174" s="371"/>
      <c r="R174" s="371"/>
      <c r="S174" s="371"/>
      <c r="T174" s="371"/>
      <c r="U174" s="371"/>
      <c r="V174" s="371"/>
      <c r="W174" s="371"/>
      <c r="Y174" s="389" t="s">
        <v>1413</v>
      </c>
      <c r="Z174" s="389"/>
      <c r="AA174" s="389"/>
      <c r="AB174" s="389"/>
      <c r="AC174" s="389"/>
      <c r="AD174" s="389"/>
      <c r="AE174" s="389"/>
      <c r="AF174" s="389"/>
      <c r="AI174" s="373" t="s">
        <v>1414</v>
      </c>
      <c r="AJ174" s="373"/>
      <c r="AK174" s="373"/>
      <c r="AL174" s="373"/>
      <c r="AM174" s="373"/>
      <c r="AN174" s="373"/>
      <c r="AO174" s="373"/>
      <c r="AP174" s="373"/>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1</v>
      </c>
      <c r="B175" s="183">
        <f>IF($B$18=$AU10,1,0)</f>
        <v>1</v>
      </c>
      <c r="C175" s="183">
        <f t="shared" ref="C175:C200" si="269">+IF((A63+B63)=2,1,A63+B63)</f>
        <v>1</v>
      </c>
      <c r="E175" s="286">
        <f t="shared" ref="E175:L176" si="270">+MAX(P175,Y175,AI175)</f>
        <v>39280</v>
      </c>
      <c r="F175" s="286">
        <f t="shared" si="270"/>
        <v>44880</v>
      </c>
      <c r="G175" s="286">
        <f t="shared" si="270"/>
        <v>50480</v>
      </c>
      <c r="H175" s="286">
        <f t="shared" si="270"/>
        <v>56080</v>
      </c>
      <c r="I175" s="286">
        <f t="shared" si="270"/>
        <v>60560</v>
      </c>
      <c r="J175" s="286">
        <f t="shared" si="270"/>
        <v>65040</v>
      </c>
      <c r="K175" s="286">
        <f t="shared" si="270"/>
        <v>69520</v>
      </c>
      <c r="L175" s="286">
        <f t="shared" si="270"/>
        <v>74000</v>
      </c>
      <c r="N175" s="91" t="str">
        <f>CONCATENATE($AU$10,$B$11,$N$174)</f>
        <v>Before 12-31-2008Kaufman80</v>
      </c>
      <c r="P175" s="189">
        <f>VLOOKUP($N175,'pre 12-31-08'!$A$4:$L$1400,E$174+3,FALSE)</f>
        <v>39280</v>
      </c>
      <c r="Q175" s="189">
        <f>VLOOKUP($N175,'pre 12-31-08'!$A$4:$L$1400,F$174+3,FALSE)</f>
        <v>44880</v>
      </c>
      <c r="R175" s="189">
        <f>VLOOKUP($N175,'pre 12-31-08'!$A$4:$L$1400,G$174+3,FALSE)</f>
        <v>50480</v>
      </c>
      <c r="S175" s="189">
        <f>VLOOKUP($N175,'pre 12-31-08'!$A$4:$L$1400,H$174+3,FALSE)</f>
        <v>56080</v>
      </c>
      <c r="T175" s="189">
        <f>VLOOKUP($N175,'pre 12-31-08'!$A$4:$L$1400,I$174+3,FALSE)</f>
        <v>60560</v>
      </c>
      <c r="U175" s="189">
        <f>VLOOKUP($N175,'pre 12-31-08'!$A$4:$L$1400,J$174+3,FALSE)</f>
        <v>65040</v>
      </c>
      <c r="V175" s="189">
        <f>VLOOKUP($N175,'pre 12-31-08'!$A$4:$L$1400,K$174+3,FALSE)</f>
        <v>69520</v>
      </c>
      <c r="W175" s="189">
        <f>VLOOKUP($N175,'pre 12-31-08'!$A$4:$L$1400,L$174+3,FALSE)</f>
        <v>74000</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1</v>
      </c>
      <c r="C176" s="183">
        <f t="shared" si="269"/>
        <v>1</v>
      </c>
      <c r="E176" s="286">
        <f t="shared" si="270"/>
        <v>38320</v>
      </c>
      <c r="F176" s="286">
        <f t="shared" si="270"/>
        <v>43760</v>
      </c>
      <c r="G176" s="286">
        <f t="shared" si="270"/>
        <v>49200</v>
      </c>
      <c r="H176" s="286">
        <f t="shared" si="270"/>
        <v>54640</v>
      </c>
      <c r="I176" s="286">
        <f t="shared" si="270"/>
        <v>59040</v>
      </c>
      <c r="J176" s="286">
        <f t="shared" si="270"/>
        <v>63440</v>
      </c>
      <c r="K176" s="286">
        <f t="shared" si="270"/>
        <v>67760</v>
      </c>
      <c r="L176" s="286">
        <f t="shared" si="270"/>
        <v>72160</v>
      </c>
      <c r="N176" s="91" t="str">
        <f>CONCATENATE($AU$11,$B$11,$N$174)</f>
        <v>1/1/2009 - 5/13/2010Kaufman80</v>
      </c>
      <c r="P176" s="189">
        <f>VLOOKUP($N176,'1-1-09-5-14-10'!$A$4:$L$1400,E$174+3,FALSE)</f>
        <v>38320</v>
      </c>
      <c r="Q176" s="189">
        <f>VLOOKUP($N176,'1-1-09-5-14-10'!$A$4:$L$1400,F$174+3,FALSE)</f>
        <v>43760</v>
      </c>
      <c r="R176" s="189">
        <f>VLOOKUP($N176,'1-1-09-5-14-10'!$A$4:$L$1400,G$174+3,FALSE)</f>
        <v>49200</v>
      </c>
      <c r="S176" s="189">
        <f>VLOOKUP($N176,'1-1-09-5-14-10'!$A$4:$L$1400,H$174+3,FALSE)</f>
        <v>54640</v>
      </c>
      <c r="T176" s="189">
        <f>VLOOKUP($N176,'1-1-09-5-14-10'!$A$4:$L$1400,I$174+3,FALSE)</f>
        <v>59040</v>
      </c>
      <c r="U176" s="189">
        <f>VLOOKUP($N176,'1-1-09-5-14-10'!$A$4:$L$1400,J$174+3,FALSE)</f>
        <v>63440</v>
      </c>
      <c r="V176" s="189">
        <f>VLOOKUP($N176,'1-1-09-5-14-10'!$A$4:$L$1400,K$174+3,FALSE)</f>
        <v>67760</v>
      </c>
      <c r="W176" s="189">
        <f>VLOOKUP($N176,'1-1-09-5-14-10'!$A$4:$L$1400,L$174+3,FALSE)</f>
        <v>72160</v>
      </c>
      <c r="Y176" s="38"/>
      <c r="Z176" s="30"/>
      <c r="AA176" s="30"/>
      <c r="AB176" s="30"/>
      <c r="AC176" s="30"/>
      <c r="AD176" s="30"/>
      <c r="AE176" s="30"/>
      <c r="AF176" s="39"/>
      <c r="AI176" s="189">
        <f t="shared" ref="AI176:AP176" si="272">+AI120/5*8</f>
        <v>0</v>
      </c>
      <c r="AJ176" s="189">
        <f t="shared" si="272"/>
        <v>0</v>
      </c>
      <c r="AK176" s="189">
        <f t="shared" si="272"/>
        <v>0</v>
      </c>
      <c r="AL176" s="189">
        <f t="shared" si="272"/>
        <v>0</v>
      </c>
      <c r="AM176" s="189">
        <f t="shared" si="272"/>
        <v>0</v>
      </c>
      <c r="AN176" s="189">
        <f t="shared" si="272"/>
        <v>0</v>
      </c>
      <c r="AO176" s="189">
        <f t="shared" si="272"/>
        <v>0</v>
      </c>
      <c r="AP176" s="189">
        <f t="shared" si="272"/>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1</v>
      </c>
      <c r="C177" s="183">
        <f t="shared" si="269"/>
        <v>1</v>
      </c>
      <c r="E177" s="287">
        <f t="shared" ref="E177:L177" si="273">+MAX(E176,E178)</f>
        <v>38320</v>
      </c>
      <c r="F177" s="287">
        <f t="shared" si="273"/>
        <v>43760</v>
      </c>
      <c r="G177" s="287">
        <f t="shared" si="273"/>
        <v>49200</v>
      </c>
      <c r="H177" s="287">
        <f t="shared" si="273"/>
        <v>54640</v>
      </c>
      <c r="I177" s="287">
        <f t="shared" si="273"/>
        <v>59040</v>
      </c>
      <c r="J177" s="287">
        <f t="shared" si="273"/>
        <v>63440</v>
      </c>
      <c r="K177" s="287">
        <f t="shared" si="273"/>
        <v>67760</v>
      </c>
      <c r="L177" s="287">
        <f t="shared" si="273"/>
        <v>72160</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1</v>
      </c>
      <c r="C178" s="183">
        <f t="shared" si="269"/>
        <v>1</v>
      </c>
      <c r="E178" s="286">
        <f t="shared" ref="E178:L178" si="274">+MAX(P178,Y178,AI178)</f>
        <v>38320</v>
      </c>
      <c r="F178" s="286">
        <f t="shared" si="274"/>
        <v>43760</v>
      </c>
      <c r="G178" s="286">
        <f t="shared" si="274"/>
        <v>49200</v>
      </c>
      <c r="H178" s="286">
        <f t="shared" si="274"/>
        <v>54640</v>
      </c>
      <c r="I178" s="286">
        <f t="shared" si="274"/>
        <v>59040</v>
      </c>
      <c r="J178" s="286">
        <f t="shared" si="274"/>
        <v>63440</v>
      </c>
      <c r="K178" s="286">
        <f t="shared" si="274"/>
        <v>67760</v>
      </c>
      <c r="L178" s="286">
        <f t="shared" si="274"/>
        <v>72160</v>
      </c>
      <c r="N178" s="91" t="str">
        <f>CONCATENATE($AU$13,$B$11,$N$174)</f>
        <v>6/29/2010 - 5/30/2011Kaufman80</v>
      </c>
      <c r="P178" s="189">
        <f>VLOOKUP($N178,'5-14-10-5-31-11'!$A$4:$L$1400,E$174+3,FALSE)</f>
        <v>38320</v>
      </c>
      <c r="Q178" s="189">
        <f>VLOOKUP($N178,'5-14-10-5-31-11'!$A$4:$L$1400,F$174+3,FALSE)</f>
        <v>43760</v>
      </c>
      <c r="R178" s="189">
        <f>VLOOKUP($N178,'5-14-10-5-31-11'!$A$4:$L$1400,G$174+3,FALSE)</f>
        <v>49200</v>
      </c>
      <c r="S178" s="189">
        <f>VLOOKUP($N178,'5-14-10-5-31-11'!$A$4:$L$1400,H$174+3,FALSE)</f>
        <v>54640</v>
      </c>
      <c r="T178" s="189">
        <f>VLOOKUP($N178,'5-14-10-5-31-11'!$A$4:$L$1400,I$174+3,FALSE)</f>
        <v>59040</v>
      </c>
      <c r="U178" s="189">
        <f>VLOOKUP($N178,'5-14-10-5-31-11'!$A$4:$L$1400,J$174+3,FALSE)</f>
        <v>63440</v>
      </c>
      <c r="V178" s="189">
        <f>VLOOKUP($N178,'5-14-10-5-31-11'!$A$4:$L$1400,K$174+3,FALSE)</f>
        <v>67760</v>
      </c>
      <c r="W178" s="189">
        <f>VLOOKUP($N178,'5-14-10-5-31-11'!$A$4:$L$1400,L$174+3,FALSE)</f>
        <v>72160</v>
      </c>
      <c r="Y178" s="38"/>
      <c r="Z178" s="30"/>
      <c r="AA178" s="30"/>
      <c r="AB178" s="30"/>
      <c r="AC178" s="30"/>
      <c r="AD178" s="30"/>
      <c r="AE178" s="30"/>
      <c r="AF178" s="39"/>
      <c r="AI178" s="189">
        <f t="shared" ref="AI178:AP178" si="275">+AI122/5*8</f>
        <v>0</v>
      </c>
      <c r="AJ178" s="189">
        <f t="shared" si="275"/>
        <v>0</v>
      </c>
      <c r="AK178" s="189">
        <f t="shared" si="275"/>
        <v>0</v>
      </c>
      <c r="AL178" s="189">
        <f t="shared" si="275"/>
        <v>0</v>
      </c>
      <c r="AM178" s="189">
        <f t="shared" si="275"/>
        <v>0</v>
      </c>
      <c r="AN178" s="189">
        <f t="shared" si="275"/>
        <v>0</v>
      </c>
      <c r="AO178" s="189">
        <f t="shared" si="275"/>
        <v>0</v>
      </c>
      <c r="AP178" s="189">
        <f t="shared" si="275"/>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1</v>
      </c>
      <c r="C179" s="183">
        <f t="shared" si="269"/>
        <v>1</v>
      </c>
      <c r="E179" s="287">
        <f t="shared" ref="E179:L179" si="276">+MAX(E178,E180)</f>
        <v>39760</v>
      </c>
      <c r="F179" s="287">
        <f t="shared" si="276"/>
        <v>45440</v>
      </c>
      <c r="G179" s="287">
        <f t="shared" si="276"/>
        <v>51120</v>
      </c>
      <c r="H179" s="287">
        <f t="shared" si="276"/>
        <v>56720</v>
      </c>
      <c r="I179" s="287">
        <f t="shared" si="276"/>
        <v>61280</v>
      </c>
      <c r="J179" s="287">
        <f t="shared" si="276"/>
        <v>65840</v>
      </c>
      <c r="K179" s="287">
        <f t="shared" si="276"/>
        <v>70400</v>
      </c>
      <c r="L179" s="287">
        <f t="shared" si="276"/>
        <v>74880</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1</v>
      </c>
      <c r="C180" s="183">
        <f t="shared" si="269"/>
        <v>1</v>
      </c>
      <c r="E180" s="286">
        <f t="shared" ref="E180:L180" si="277">+MAX(P180,Y180,AI180)</f>
        <v>39760</v>
      </c>
      <c r="F180" s="286">
        <f t="shared" si="277"/>
        <v>45440</v>
      </c>
      <c r="G180" s="286">
        <f t="shared" si="277"/>
        <v>51120</v>
      </c>
      <c r="H180" s="286">
        <f t="shared" si="277"/>
        <v>56720</v>
      </c>
      <c r="I180" s="286">
        <f t="shared" si="277"/>
        <v>61280</v>
      </c>
      <c r="J180" s="286">
        <f t="shared" si="277"/>
        <v>65840</v>
      </c>
      <c r="K180" s="286">
        <f t="shared" si="277"/>
        <v>70400</v>
      </c>
      <c r="L180" s="286">
        <f t="shared" si="277"/>
        <v>74880</v>
      </c>
      <c r="N180" s="163" t="s">
        <v>2103</v>
      </c>
      <c r="P180" s="189">
        <f t="shared" ref="P180:W180" si="278">+P124/5*8</f>
        <v>38720</v>
      </c>
      <c r="Q180" s="189">
        <f t="shared" si="278"/>
        <v>44240</v>
      </c>
      <c r="R180" s="189">
        <f t="shared" si="278"/>
        <v>49760</v>
      </c>
      <c r="S180" s="189">
        <f t="shared" si="278"/>
        <v>55280</v>
      </c>
      <c r="T180" s="189">
        <f t="shared" si="278"/>
        <v>59760</v>
      </c>
      <c r="U180" s="189">
        <f t="shared" si="278"/>
        <v>64160</v>
      </c>
      <c r="V180" s="189">
        <f t="shared" si="278"/>
        <v>68560</v>
      </c>
      <c r="W180" s="189">
        <f t="shared" si="278"/>
        <v>73040</v>
      </c>
      <c r="Y180" s="189">
        <f t="shared" ref="Y180:AF180" si="279">+Y124/5*8</f>
        <v>39760</v>
      </c>
      <c r="Z180" s="189">
        <f t="shared" si="279"/>
        <v>45440</v>
      </c>
      <c r="AA180" s="189">
        <f t="shared" si="279"/>
        <v>51120</v>
      </c>
      <c r="AB180" s="189">
        <f t="shared" si="279"/>
        <v>56720</v>
      </c>
      <c r="AC180" s="189">
        <f t="shared" si="279"/>
        <v>61280</v>
      </c>
      <c r="AD180" s="189">
        <f t="shared" si="279"/>
        <v>65840</v>
      </c>
      <c r="AE180" s="189">
        <f t="shared" si="279"/>
        <v>70400</v>
      </c>
      <c r="AF180" s="189">
        <f t="shared" si="279"/>
        <v>74880</v>
      </c>
      <c r="AI180" s="189">
        <f t="shared" ref="AI180:AP180" si="280">+AI124/5*8</f>
        <v>0</v>
      </c>
      <c r="AJ180" s="189">
        <f t="shared" si="280"/>
        <v>0</v>
      </c>
      <c r="AK180" s="189">
        <f t="shared" si="280"/>
        <v>0</v>
      </c>
      <c r="AL180" s="189">
        <f t="shared" si="280"/>
        <v>0</v>
      </c>
      <c r="AM180" s="189">
        <f t="shared" si="280"/>
        <v>0</v>
      </c>
      <c r="AN180" s="189">
        <f t="shared" si="280"/>
        <v>0</v>
      </c>
      <c r="AO180" s="189">
        <f t="shared" si="280"/>
        <v>0</v>
      </c>
      <c r="AP180" s="189">
        <f t="shared" si="280"/>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1</v>
      </c>
      <c r="C181" s="183">
        <f t="shared" si="269"/>
        <v>1</v>
      </c>
      <c r="E181" s="287">
        <f t="shared" ref="E181:L181" si="281">+MAX(E180,E182)</f>
        <v>40320</v>
      </c>
      <c r="F181" s="287">
        <f t="shared" si="281"/>
        <v>46080</v>
      </c>
      <c r="G181" s="287">
        <f t="shared" si="281"/>
        <v>51840</v>
      </c>
      <c r="H181" s="287">
        <f t="shared" si="281"/>
        <v>57520</v>
      </c>
      <c r="I181" s="287">
        <f t="shared" si="281"/>
        <v>62160</v>
      </c>
      <c r="J181" s="287">
        <f t="shared" si="281"/>
        <v>66800</v>
      </c>
      <c r="K181" s="287">
        <f t="shared" si="281"/>
        <v>71360</v>
      </c>
      <c r="L181" s="287">
        <f t="shared" si="281"/>
        <v>76000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1</v>
      </c>
      <c r="C182" s="183">
        <f t="shared" si="269"/>
        <v>1</v>
      </c>
      <c r="E182" s="286">
        <f t="shared" ref="E182:L182" si="282">+MAX(P182,Y182,AI182)</f>
        <v>40320</v>
      </c>
      <c r="F182" s="286">
        <f t="shared" si="282"/>
        <v>46080</v>
      </c>
      <c r="G182" s="286">
        <f t="shared" si="282"/>
        <v>51840</v>
      </c>
      <c r="H182" s="286">
        <f t="shared" si="282"/>
        <v>57520</v>
      </c>
      <c r="I182" s="286">
        <f t="shared" si="282"/>
        <v>62160</v>
      </c>
      <c r="J182" s="286">
        <f t="shared" si="282"/>
        <v>66800</v>
      </c>
      <c r="K182" s="286">
        <f t="shared" si="282"/>
        <v>71360</v>
      </c>
      <c r="L182" s="286">
        <f t="shared" si="282"/>
        <v>76000</v>
      </c>
      <c r="N182" s="163" t="s">
        <v>2105</v>
      </c>
      <c r="P182" s="189">
        <f t="shared" ref="P182:W182" si="283">+P126/5*8</f>
        <v>39280</v>
      </c>
      <c r="Q182" s="189">
        <f t="shared" si="283"/>
        <v>44880</v>
      </c>
      <c r="R182" s="189">
        <f t="shared" si="283"/>
        <v>50480</v>
      </c>
      <c r="S182" s="189">
        <f t="shared" si="283"/>
        <v>56080</v>
      </c>
      <c r="T182" s="189">
        <f t="shared" si="283"/>
        <v>60640</v>
      </c>
      <c r="U182" s="189">
        <f t="shared" si="283"/>
        <v>65120</v>
      </c>
      <c r="V182" s="189">
        <f t="shared" si="283"/>
        <v>69600</v>
      </c>
      <c r="W182" s="189">
        <f t="shared" si="283"/>
        <v>74080</v>
      </c>
      <c r="Y182" s="189">
        <f t="shared" ref="Y182:AF182" si="284">+Y126/5*8</f>
        <v>40320</v>
      </c>
      <c r="Z182" s="189">
        <f t="shared" si="284"/>
        <v>46080</v>
      </c>
      <c r="AA182" s="189">
        <f t="shared" si="284"/>
        <v>51840</v>
      </c>
      <c r="AB182" s="189">
        <f t="shared" si="284"/>
        <v>57520</v>
      </c>
      <c r="AC182" s="189">
        <f t="shared" si="284"/>
        <v>62160</v>
      </c>
      <c r="AD182" s="189">
        <f t="shared" si="284"/>
        <v>66800</v>
      </c>
      <c r="AE182" s="189">
        <f t="shared" si="284"/>
        <v>71360</v>
      </c>
      <c r="AF182" s="189">
        <f t="shared" si="284"/>
        <v>76000</v>
      </c>
      <c r="AI182" s="189">
        <f t="shared" ref="AI182:AP182" si="285">+AI126/5*8</f>
        <v>0</v>
      </c>
      <c r="AJ182" s="189">
        <f t="shared" si="285"/>
        <v>0</v>
      </c>
      <c r="AK182" s="189">
        <f t="shared" si="285"/>
        <v>0</v>
      </c>
      <c r="AL182" s="189">
        <f t="shared" si="285"/>
        <v>0</v>
      </c>
      <c r="AM182" s="189">
        <f t="shared" si="285"/>
        <v>0</v>
      </c>
      <c r="AN182" s="189">
        <f t="shared" si="285"/>
        <v>0</v>
      </c>
      <c r="AO182" s="189">
        <f t="shared" si="285"/>
        <v>0</v>
      </c>
      <c r="AP182" s="189">
        <f t="shared" si="285"/>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1</v>
      </c>
      <c r="C183" s="183">
        <f t="shared" si="269"/>
        <v>1</v>
      </c>
      <c r="E183" s="287">
        <f t="shared" ref="E183:L183" si="286">+MAX(E182,E184)</f>
        <v>40320</v>
      </c>
      <c r="F183" s="287">
        <f t="shared" si="286"/>
        <v>46080</v>
      </c>
      <c r="G183" s="287">
        <f t="shared" si="286"/>
        <v>51840</v>
      </c>
      <c r="H183" s="287">
        <f t="shared" si="286"/>
        <v>57520</v>
      </c>
      <c r="I183" s="287">
        <f t="shared" si="286"/>
        <v>62160</v>
      </c>
      <c r="J183" s="287">
        <f t="shared" si="286"/>
        <v>66800</v>
      </c>
      <c r="K183" s="287">
        <f t="shared" si="286"/>
        <v>71360</v>
      </c>
      <c r="L183" s="287">
        <f t="shared" si="286"/>
        <v>76000</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1</v>
      </c>
      <c r="C184" s="183">
        <f t="shared" si="269"/>
        <v>1</v>
      </c>
      <c r="E184" s="286">
        <f t="shared" ref="E184:L184" si="287">+MAX(P184,Y184,AI184)</f>
        <v>40320</v>
      </c>
      <c r="F184" s="286">
        <f t="shared" si="287"/>
        <v>46080</v>
      </c>
      <c r="G184" s="286">
        <f t="shared" si="287"/>
        <v>51840</v>
      </c>
      <c r="H184" s="286">
        <f t="shared" si="287"/>
        <v>57520</v>
      </c>
      <c r="I184" s="286">
        <f t="shared" si="287"/>
        <v>62160</v>
      </c>
      <c r="J184" s="286">
        <f t="shared" si="287"/>
        <v>66800</v>
      </c>
      <c r="K184" s="286">
        <f t="shared" si="287"/>
        <v>71360</v>
      </c>
      <c r="L184" s="286">
        <f t="shared" si="287"/>
        <v>76000</v>
      </c>
      <c r="N184" s="163" t="s">
        <v>2123</v>
      </c>
      <c r="P184" s="189">
        <f t="shared" ref="P184:W184" si="288">+P128/5*8</f>
        <v>37840</v>
      </c>
      <c r="Q184" s="189">
        <f t="shared" si="288"/>
        <v>43200</v>
      </c>
      <c r="R184" s="189">
        <f t="shared" si="288"/>
        <v>48640</v>
      </c>
      <c r="S184" s="189">
        <f t="shared" si="288"/>
        <v>54000</v>
      </c>
      <c r="T184" s="189">
        <f t="shared" si="288"/>
        <v>58320</v>
      </c>
      <c r="U184" s="189">
        <f t="shared" si="288"/>
        <v>62640</v>
      </c>
      <c r="V184" s="189">
        <f t="shared" si="288"/>
        <v>66960</v>
      </c>
      <c r="W184" s="189">
        <f t="shared" si="288"/>
        <v>71280</v>
      </c>
      <c r="Y184" s="189">
        <f t="shared" ref="Y184:AF184" si="289">+Y128/5*8</f>
        <v>40320</v>
      </c>
      <c r="Z184" s="189">
        <f t="shared" si="289"/>
        <v>46080</v>
      </c>
      <c r="AA184" s="189">
        <f t="shared" si="289"/>
        <v>51840</v>
      </c>
      <c r="AB184" s="189">
        <f t="shared" si="289"/>
        <v>57520</v>
      </c>
      <c r="AC184" s="189">
        <f t="shared" si="289"/>
        <v>62160</v>
      </c>
      <c r="AD184" s="189">
        <f t="shared" si="289"/>
        <v>66800</v>
      </c>
      <c r="AE184" s="189">
        <f t="shared" si="289"/>
        <v>71360</v>
      </c>
      <c r="AF184" s="189">
        <f t="shared" si="289"/>
        <v>76000</v>
      </c>
      <c r="AI184" s="189">
        <f t="shared" ref="AI184:AP184" si="290">+AI128*1.6</f>
        <v>0</v>
      </c>
      <c r="AJ184" s="189">
        <f t="shared" si="290"/>
        <v>0</v>
      </c>
      <c r="AK184" s="189">
        <f t="shared" si="290"/>
        <v>0</v>
      </c>
      <c r="AL184" s="189">
        <f t="shared" si="290"/>
        <v>0</v>
      </c>
      <c r="AM184" s="189">
        <f t="shared" si="290"/>
        <v>0</v>
      </c>
      <c r="AN184" s="189">
        <f t="shared" si="290"/>
        <v>0</v>
      </c>
      <c r="AO184" s="189">
        <f t="shared" si="290"/>
        <v>0</v>
      </c>
      <c r="AP184" s="189">
        <f t="shared" si="290"/>
        <v>0</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1</v>
      </c>
      <c r="C185" s="183">
        <f t="shared" si="269"/>
        <v>1</v>
      </c>
      <c r="E185" s="287">
        <f t="shared" ref="E185:L185" si="291">+MAX(E184,E186)</f>
        <v>40320</v>
      </c>
      <c r="F185" s="287">
        <f t="shared" si="291"/>
        <v>46080</v>
      </c>
      <c r="G185" s="287">
        <f t="shared" si="291"/>
        <v>51840</v>
      </c>
      <c r="H185" s="287">
        <f t="shared" si="291"/>
        <v>57520</v>
      </c>
      <c r="I185" s="287">
        <f t="shared" si="291"/>
        <v>62160</v>
      </c>
      <c r="J185" s="287">
        <f t="shared" si="291"/>
        <v>66800</v>
      </c>
      <c r="K185" s="287">
        <f t="shared" si="291"/>
        <v>71360</v>
      </c>
      <c r="L185" s="287">
        <f t="shared" si="291"/>
        <v>76000</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1</v>
      </c>
      <c r="C186" s="183">
        <f t="shared" si="269"/>
        <v>1</v>
      </c>
      <c r="E186" s="286">
        <f t="shared" ref="E186:L186" si="292">+MAX(P186,Y186,AI186)</f>
        <v>40320</v>
      </c>
      <c r="F186" s="286">
        <f t="shared" si="292"/>
        <v>46080</v>
      </c>
      <c r="G186" s="286">
        <f t="shared" si="292"/>
        <v>51840</v>
      </c>
      <c r="H186" s="286">
        <f t="shared" si="292"/>
        <v>57520</v>
      </c>
      <c r="I186" s="286">
        <f t="shared" si="292"/>
        <v>62160</v>
      </c>
      <c r="J186" s="286">
        <f t="shared" si="292"/>
        <v>66800</v>
      </c>
      <c r="K186" s="286">
        <f t="shared" si="292"/>
        <v>71360</v>
      </c>
      <c r="L186" s="286">
        <f t="shared" si="292"/>
        <v>76000</v>
      </c>
      <c r="N186" s="95" t="s">
        <v>2187</v>
      </c>
      <c r="P186" s="189">
        <f t="shared" ref="P186:W186" si="293">+P130/5*8</f>
        <v>38080</v>
      </c>
      <c r="Q186" s="189">
        <f t="shared" si="293"/>
        <v>43520</v>
      </c>
      <c r="R186" s="189">
        <f t="shared" si="293"/>
        <v>48960</v>
      </c>
      <c r="S186" s="189">
        <f t="shared" si="293"/>
        <v>54320</v>
      </c>
      <c r="T186" s="189">
        <f t="shared" si="293"/>
        <v>58720</v>
      </c>
      <c r="U186" s="189">
        <f t="shared" si="293"/>
        <v>63040</v>
      </c>
      <c r="V186" s="189">
        <f t="shared" si="293"/>
        <v>67360</v>
      </c>
      <c r="W186" s="189">
        <f t="shared" si="293"/>
        <v>71760</v>
      </c>
      <c r="Y186" s="189">
        <f t="shared" ref="Y186:AF186" si="294">+Y130/5*8</f>
        <v>40320</v>
      </c>
      <c r="Z186" s="189">
        <f t="shared" si="294"/>
        <v>46080</v>
      </c>
      <c r="AA186" s="189">
        <f t="shared" si="294"/>
        <v>51840</v>
      </c>
      <c r="AB186" s="189">
        <f t="shared" si="294"/>
        <v>57520</v>
      </c>
      <c r="AC186" s="189">
        <f t="shared" si="294"/>
        <v>62160</v>
      </c>
      <c r="AD186" s="189">
        <f t="shared" si="294"/>
        <v>66800</v>
      </c>
      <c r="AE186" s="189">
        <f t="shared" si="294"/>
        <v>71360</v>
      </c>
      <c r="AF186" s="189">
        <f t="shared" si="294"/>
        <v>76000</v>
      </c>
      <c r="AI186" s="189">
        <f t="shared" ref="AI186:AP186" si="295">+AI130*1.6</f>
        <v>0</v>
      </c>
      <c r="AJ186" s="189">
        <f t="shared" si="295"/>
        <v>0</v>
      </c>
      <c r="AK186" s="189">
        <f t="shared" si="295"/>
        <v>0</v>
      </c>
      <c r="AL186" s="189">
        <f t="shared" si="295"/>
        <v>0</v>
      </c>
      <c r="AM186" s="189">
        <f t="shared" si="295"/>
        <v>0</v>
      </c>
      <c r="AN186" s="189">
        <f t="shared" si="295"/>
        <v>0</v>
      </c>
      <c r="AO186" s="189">
        <f t="shared" si="295"/>
        <v>0</v>
      </c>
      <c r="AP186" s="189">
        <f t="shared" si="295"/>
        <v>0</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1</v>
      </c>
      <c r="C187" s="183">
        <f t="shared" si="269"/>
        <v>1</v>
      </c>
      <c r="E187" s="287">
        <f>+MAX(E186,E188)</f>
        <v>40480</v>
      </c>
      <c r="F187" s="287">
        <f t="shared" ref="F187:L187" si="296">+MAX(F186,F188)</f>
        <v>46240</v>
      </c>
      <c r="G187" s="287">
        <f t="shared" si="296"/>
        <v>52000</v>
      </c>
      <c r="H187" s="287">
        <f t="shared" si="296"/>
        <v>57760</v>
      </c>
      <c r="I187" s="287">
        <f t="shared" si="296"/>
        <v>62400</v>
      </c>
      <c r="J187" s="287">
        <f t="shared" si="296"/>
        <v>67040</v>
      </c>
      <c r="K187" s="287">
        <f t="shared" si="296"/>
        <v>71680</v>
      </c>
      <c r="L187" s="287">
        <f t="shared" si="296"/>
        <v>76320</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1</v>
      </c>
      <c r="C188" s="183">
        <f t="shared" si="269"/>
        <v>1</v>
      </c>
      <c r="E188" s="288">
        <f t="shared" ref="E188:L188" si="297">+MAX(P188,Y188,AI188)</f>
        <v>40480</v>
      </c>
      <c r="F188" s="288">
        <f t="shared" si="297"/>
        <v>46240</v>
      </c>
      <c r="G188" s="288">
        <f t="shared" si="297"/>
        <v>52000</v>
      </c>
      <c r="H188" s="288">
        <f t="shared" si="297"/>
        <v>57760</v>
      </c>
      <c r="I188" s="288">
        <f t="shared" si="297"/>
        <v>62400</v>
      </c>
      <c r="J188" s="288">
        <f t="shared" si="297"/>
        <v>67040</v>
      </c>
      <c r="K188" s="288">
        <f t="shared" si="297"/>
        <v>71680</v>
      </c>
      <c r="L188" s="288">
        <f t="shared" si="297"/>
        <v>76320</v>
      </c>
      <c r="N188" s="95" t="s">
        <v>2226</v>
      </c>
      <c r="P188" s="189">
        <f t="shared" ref="P188:W188" si="298">+P132/5*8</f>
        <v>39440</v>
      </c>
      <c r="Q188" s="189">
        <f t="shared" si="298"/>
        <v>45120</v>
      </c>
      <c r="R188" s="189">
        <f t="shared" si="298"/>
        <v>50720</v>
      </c>
      <c r="S188" s="189">
        <f t="shared" si="298"/>
        <v>56320</v>
      </c>
      <c r="T188" s="189">
        <f t="shared" si="298"/>
        <v>60880</v>
      </c>
      <c r="U188" s="189">
        <f t="shared" si="298"/>
        <v>65360</v>
      </c>
      <c r="V188" s="189">
        <f t="shared" si="298"/>
        <v>69840</v>
      </c>
      <c r="W188" s="189">
        <f t="shared" si="298"/>
        <v>74400</v>
      </c>
      <c r="Y188" s="189">
        <f t="shared" ref="Y188:AF188" si="299">+Y132/5*8</f>
        <v>40480</v>
      </c>
      <c r="Z188" s="189">
        <f t="shared" si="299"/>
        <v>46240</v>
      </c>
      <c r="AA188" s="189">
        <f t="shared" si="299"/>
        <v>52000</v>
      </c>
      <c r="AB188" s="189">
        <f t="shared" si="299"/>
        <v>57760</v>
      </c>
      <c r="AC188" s="189">
        <f t="shared" si="299"/>
        <v>62400</v>
      </c>
      <c r="AD188" s="189">
        <f t="shared" si="299"/>
        <v>67040</v>
      </c>
      <c r="AE188" s="189">
        <f t="shared" si="299"/>
        <v>71680</v>
      </c>
      <c r="AF188" s="189">
        <f t="shared" si="299"/>
        <v>76320</v>
      </c>
      <c r="AI188" s="189">
        <f t="shared" ref="AI188:AP188" si="300">+AI132*1.6</f>
        <v>0</v>
      </c>
      <c r="AJ188" s="189">
        <f t="shared" si="300"/>
        <v>0</v>
      </c>
      <c r="AK188" s="189">
        <f t="shared" si="300"/>
        <v>0</v>
      </c>
      <c r="AL188" s="189">
        <f t="shared" si="300"/>
        <v>0</v>
      </c>
      <c r="AM188" s="189">
        <f t="shared" si="300"/>
        <v>0</v>
      </c>
      <c r="AN188" s="189">
        <f t="shared" si="300"/>
        <v>0</v>
      </c>
      <c r="AO188" s="189">
        <f t="shared" si="300"/>
        <v>0</v>
      </c>
      <c r="AP188" s="189">
        <f t="shared" si="300"/>
        <v>0</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1</v>
      </c>
      <c r="C189" s="183">
        <f t="shared" si="269"/>
        <v>1</v>
      </c>
      <c r="E189" s="287">
        <f>+MAX(E188,E190)</f>
        <v>41280</v>
      </c>
      <c r="F189" s="287">
        <f t="shared" ref="F189:L189" si="301">+MAX(F188,F190)</f>
        <v>47120</v>
      </c>
      <c r="G189" s="287">
        <f t="shared" si="301"/>
        <v>53040</v>
      </c>
      <c r="H189" s="287">
        <f t="shared" si="301"/>
        <v>58880</v>
      </c>
      <c r="I189" s="287">
        <f t="shared" si="301"/>
        <v>63600</v>
      </c>
      <c r="J189" s="287">
        <f t="shared" si="301"/>
        <v>68320</v>
      </c>
      <c r="K189" s="287">
        <f t="shared" si="301"/>
        <v>73040</v>
      </c>
      <c r="L189" s="287">
        <f t="shared" si="301"/>
        <v>77760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1</v>
      </c>
      <c r="C190" s="183">
        <f t="shared" si="269"/>
        <v>1</v>
      </c>
      <c r="E190" s="288">
        <f t="shared" ref="E190:L190" si="302">+MAX(P190,Y190,AI190)</f>
        <v>41280</v>
      </c>
      <c r="F190" s="288">
        <f t="shared" si="302"/>
        <v>47120</v>
      </c>
      <c r="G190" s="288">
        <f t="shared" si="302"/>
        <v>53040</v>
      </c>
      <c r="H190" s="288">
        <f t="shared" si="302"/>
        <v>58880</v>
      </c>
      <c r="I190" s="288">
        <f t="shared" si="302"/>
        <v>63600</v>
      </c>
      <c r="J190" s="288">
        <f t="shared" si="302"/>
        <v>68320</v>
      </c>
      <c r="K190" s="288">
        <f t="shared" si="302"/>
        <v>73040</v>
      </c>
      <c r="L190" s="288">
        <f t="shared" si="302"/>
        <v>77760</v>
      </c>
      <c r="N190" s="95" t="s">
        <v>2266</v>
      </c>
      <c r="P190" s="189">
        <f t="shared" ref="P190:W190" si="303">+P134*1.6</f>
        <v>40160</v>
      </c>
      <c r="Q190" s="189">
        <f t="shared" si="303"/>
        <v>45920</v>
      </c>
      <c r="R190" s="189">
        <f t="shared" si="303"/>
        <v>51680</v>
      </c>
      <c r="S190" s="189">
        <f t="shared" si="303"/>
        <v>57360</v>
      </c>
      <c r="T190" s="189">
        <f t="shared" si="303"/>
        <v>62000</v>
      </c>
      <c r="U190" s="189">
        <f t="shared" si="303"/>
        <v>66560</v>
      </c>
      <c r="V190" s="189">
        <f t="shared" si="303"/>
        <v>71200</v>
      </c>
      <c r="W190" s="189">
        <f t="shared" si="303"/>
        <v>75760</v>
      </c>
      <c r="Y190" s="189">
        <f t="shared" ref="Y190:AF190" si="304">+Y134*1.6</f>
        <v>41280</v>
      </c>
      <c r="Z190" s="189">
        <f t="shared" si="304"/>
        <v>47120</v>
      </c>
      <c r="AA190" s="189">
        <f t="shared" si="304"/>
        <v>53040</v>
      </c>
      <c r="AB190" s="189">
        <f t="shared" si="304"/>
        <v>58880</v>
      </c>
      <c r="AC190" s="189">
        <f t="shared" si="304"/>
        <v>63600</v>
      </c>
      <c r="AD190" s="189">
        <f t="shared" si="304"/>
        <v>68320</v>
      </c>
      <c r="AE190" s="189">
        <f t="shared" si="304"/>
        <v>73040</v>
      </c>
      <c r="AF190" s="189">
        <f t="shared" si="304"/>
        <v>77760</v>
      </c>
      <c r="AI190" s="189">
        <f t="shared" ref="AI190:AP190" si="305">+AI134*1.6</f>
        <v>0</v>
      </c>
      <c r="AJ190" s="189">
        <f t="shared" si="305"/>
        <v>0</v>
      </c>
      <c r="AK190" s="189">
        <f t="shared" si="305"/>
        <v>0</v>
      </c>
      <c r="AL190" s="189">
        <f t="shared" si="305"/>
        <v>0</v>
      </c>
      <c r="AM190" s="189">
        <f t="shared" si="305"/>
        <v>0</v>
      </c>
      <c r="AN190" s="189">
        <f t="shared" si="305"/>
        <v>0</v>
      </c>
      <c r="AO190" s="189">
        <f t="shared" si="305"/>
        <v>0</v>
      </c>
      <c r="AP190" s="189">
        <f t="shared" si="305"/>
        <v>0</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1</v>
      </c>
      <c r="C191" s="290">
        <f t="shared" si="269"/>
        <v>1</v>
      </c>
      <c r="D191" s="202"/>
      <c r="E191" s="287">
        <f>+MAX(E190,E192)</f>
        <v>42240</v>
      </c>
      <c r="F191" s="287">
        <f t="shared" ref="F191:L195" si="306">+MAX(F190,F192)</f>
        <v>48240</v>
      </c>
      <c r="G191" s="287">
        <f t="shared" si="306"/>
        <v>54240</v>
      </c>
      <c r="H191" s="287">
        <f t="shared" si="306"/>
        <v>60240</v>
      </c>
      <c r="I191" s="287">
        <f t="shared" si="306"/>
        <v>65120</v>
      </c>
      <c r="J191" s="287">
        <f t="shared" si="306"/>
        <v>69920</v>
      </c>
      <c r="K191" s="287">
        <f t="shared" si="306"/>
        <v>74720</v>
      </c>
      <c r="L191" s="287">
        <f t="shared" si="306"/>
        <v>79520</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1</v>
      </c>
      <c r="C192" s="183">
        <f t="shared" si="269"/>
        <v>1</v>
      </c>
      <c r="D192" s="202"/>
      <c r="E192" s="289">
        <f>+MAX(P192,Y192,AI192)</f>
        <v>42240</v>
      </c>
      <c r="F192" s="289">
        <f t="shared" ref="F192:L192" si="307">+MAX(Q192,Z192,AJ192)</f>
        <v>48240</v>
      </c>
      <c r="G192" s="289">
        <f t="shared" si="307"/>
        <v>54240</v>
      </c>
      <c r="H192" s="289">
        <f t="shared" si="307"/>
        <v>60240</v>
      </c>
      <c r="I192" s="289">
        <f t="shared" si="307"/>
        <v>65120</v>
      </c>
      <c r="J192" s="289">
        <f t="shared" si="307"/>
        <v>69920</v>
      </c>
      <c r="K192" s="289">
        <f t="shared" si="307"/>
        <v>74720</v>
      </c>
      <c r="L192" s="289">
        <f t="shared" si="307"/>
        <v>79520</v>
      </c>
      <c r="M192" s="202"/>
      <c r="N192" s="213" t="s">
        <v>2379</v>
      </c>
      <c r="O192" s="202"/>
      <c r="P192" s="192">
        <f t="shared" ref="P192:W192" si="308">+P136*1.6</f>
        <v>41120</v>
      </c>
      <c r="Q192" s="192">
        <f t="shared" si="308"/>
        <v>47040</v>
      </c>
      <c r="R192" s="192">
        <f t="shared" si="308"/>
        <v>52880</v>
      </c>
      <c r="S192" s="192">
        <f t="shared" si="308"/>
        <v>58720</v>
      </c>
      <c r="T192" s="192">
        <f t="shared" si="308"/>
        <v>63440</v>
      </c>
      <c r="U192" s="192">
        <f t="shared" si="308"/>
        <v>68160</v>
      </c>
      <c r="V192" s="192">
        <f t="shared" si="308"/>
        <v>72880</v>
      </c>
      <c r="W192" s="192">
        <f t="shared" si="308"/>
        <v>77520</v>
      </c>
      <c r="X192" s="202"/>
      <c r="Y192" s="192">
        <f t="shared" ref="Y192:AF192" si="309">+Y136*1.6</f>
        <v>42240</v>
      </c>
      <c r="Z192" s="192">
        <f t="shared" si="309"/>
        <v>48240</v>
      </c>
      <c r="AA192" s="192">
        <f t="shared" si="309"/>
        <v>54240</v>
      </c>
      <c r="AB192" s="192">
        <f t="shared" si="309"/>
        <v>60240</v>
      </c>
      <c r="AC192" s="192">
        <f t="shared" si="309"/>
        <v>65120</v>
      </c>
      <c r="AD192" s="192">
        <f t="shared" si="309"/>
        <v>69920</v>
      </c>
      <c r="AE192" s="192">
        <f t="shared" si="309"/>
        <v>74720</v>
      </c>
      <c r="AF192" s="192">
        <f t="shared" si="309"/>
        <v>79520</v>
      </c>
      <c r="AG192" s="202"/>
      <c r="AH192" s="202"/>
      <c r="AI192" s="192">
        <f t="shared" ref="AI192:AP192" si="310">+AI136*1.6</f>
        <v>0</v>
      </c>
      <c r="AJ192" s="192">
        <f t="shared" si="310"/>
        <v>0</v>
      </c>
      <c r="AK192" s="192">
        <f t="shared" si="310"/>
        <v>0</v>
      </c>
      <c r="AL192" s="192">
        <f t="shared" si="310"/>
        <v>0</v>
      </c>
      <c r="AM192" s="192">
        <f t="shared" si="310"/>
        <v>0</v>
      </c>
      <c r="AN192" s="192">
        <f t="shared" si="310"/>
        <v>0</v>
      </c>
      <c r="AO192" s="192">
        <f t="shared" si="310"/>
        <v>0</v>
      </c>
      <c r="AP192" s="192">
        <f t="shared" si="310"/>
        <v>0</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1</v>
      </c>
      <c r="C193" s="183">
        <f t="shared" si="269"/>
        <v>1</v>
      </c>
      <c r="D193" s="202"/>
      <c r="E193" s="287">
        <f>+MAX(E192,E194)</f>
        <v>44400</v>
      </c>
      <c r="F193" s="287">
        <f t="shared" si="306"/>
        <v>50720</v>
      </c>
      <c r="G193" s="287">
        <f t="shared" si="306"/>
        <v>57040</v>
      </c>
      <c r="H193" s="287">
        <f t="shared" si="306"/>
        <v>63360</v>
      </c>
      <c r="I193" s="287">
        <f t="shared" si="306"/>
        <v>68480</v>
      </c>
      <c r="J193" s="287">
        <f t="shared" si="306"/>
        <v>73520</v>
      </c>
      <c r="K193" s="287">
        <f t="shared" si="306"/>
        <v>78640</v>
      </c>
      <c r="L193" s="287">
        <f t="shared" si="306"/>
        <v>83680</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1</v>
      </c>
      <c r="C194" s="183">
        <f t="shared" si="269"/>
        <v>1</v>
      </c>
      <c r="D194" s="202"/>
      <c r="E194" s="289">
        <f>+MAX(P194,Y194,AI194)</f>
        <v>44400</v>
      </c>
      <c r="F194" s="289">
        <f t="shared" ref="F194" si="312">+MAX(Q194,Z194,AJ194)</f>
        <v>50720</v>
      </c>
      <c r="G194" s="289">
        <f t="shared" ref="G194" si="313">+MAX(R194,AA194,AK194)</f>
        <v>57040</v>
      </c>
      <c r="H194" s="289">
        <f t="shared" ref="H194" si="314">+MAX(S194,AB194,AL194)</f>
        <v>63360</v>
      </c>
      <c r="I194" s="289">
        <f t="shared" ref="I194" si="315">+MAX(T194,AC194,AM194)</f>
        <v>68480</v>
      </c>
      <c r="J194" s="289">
        <f t="shared" ref="J194" si="316">+MAX(U194,AD194,AN194)</f>
        <v>73520</v>
      </c>
      <c r="K194" s="289">
        <f t="shared" ref="K194" si="317">+MAX(V194,AE194,AO194)</f>
        <v>78640</v>
      </c>
      <c r="L194" s="289">
        <f t="shared" ref="L194" si="318">+MAX(W194,AF194,AP194)</f>
        <v>83680</v>
      </c>
      <c r="M194" s="202"/>
      <c r="N194" s="213" t="s">
        <v>3078</v>
      </c>
      <c r="O194" s="202"/>
      <c r="P194" s="192">
        <f t="shared" ref="P194:W194" si="319">P138*1.6</f>
        <v>43280</v>
      </c>
      <c r="Q194" s="192">
        <f t="shared" si="319"/>
        <v>49440</v>
      </c>
      <c r="R194" s="192">
        <f t="shared" si="319"/>
        <v>55600</v>
      </c>
      <c r="S194" s="192">
        <f t="shared" si="319"/>
        <v>61760</v>
      </c>
      <c r="T194" s="192">
        <f t="shared" si="319"/>
        <v>66720</v>
      </c>
      <c r="U194" s="192">
        <f t="shared" si="319"/>
        <v>71680</v>
      </c>
      <c r="V194" s="192">
        <f t="shared" si="319"/>
        <v>76640</v>
      </c>
      <c r="W194" s="192">
        <f t="shared" si="319"/>
        <v>81600</v>
      </c>
      <c r="X194" s="202"/>
      <c r="Y194" s="192">
        <f t="shared" ref="Y194:AF194" si="320">+Y138*1.6</f>
        <v>44400</v>
      </c>
      <c r="Z194" s="192">
        <f t="shared" si="320"/>
        <v>50720</v>
      </c>
      <c r="AA194" s="192">
        <f t="shared" si="320"/>
        <v>57040</v>
      </c>
      <c r="AB194" s="192">
        <f t="shared" si="320"/>
        <v>63360</v>
      </c>
      <c r="AC194" s="192">
        <f t="shared" si="320"/>
        <v>68480</v>
      </c>
      <c r="AD194" s="192">
        <f t="shared" si="320"/>
        <v>73520</v>
      </c>
      <c r="AE194" s="192">
        <f t="shared" si="320"/>
        <v>78640</v>
      </c>
      <c r="AF194" s="192">
        <f t="shared" si="320"/>
        <v>83680</v>
      </c>
      <c r="AG194" s="202"/>
      <c r="AH194" s="202"/>
      <c r="AI194" s="192">
        <f t="shared" ref="AI194:AP194" si="321">+AI138*1.6</f>
        <v>0</v>
      </c>
      <c r="AJ194" s="192">
        <f t="shared" si="321"/>
        <v>0</v>
      </c>
      <c r="AK194" s="192">
        <f t="shared" si="321"/>
        <v>0</v>
      </c>
      <c r="AL194" s="192">
        <f t="shared" si="321"/>
        <v>0</v>
      </c>
      <c r="AM194" s="192">
        <f t="shared" si="321"/>
        <v>0</v>
      </c>
      <c r="AN194" s="192">
        <f t="shared" si="321"/>
        <v>0</v>
      </c>
      <c r="AO194" s="192">
        <f t="shared" si="321"/>
        <v>0</v>
      </c>
      <c r="AP194" s="192">
        <f t="shared" si="321"/>
        <v>0</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1</v>
      </c>
      <c r="C195" s="183">
        <f t="shared" si="269"/>
        <v>1</v>
      </c>
      <c r="D195" s="202"/>
      <c r="E195" s="287">
        <f>+MAX(E194,E196)</f>
        <v>47840</v>
      </c>
      <c r="F195" s="287">
        <f t="shared" si="306"/>
        <v>54640</v>
      </c>
      <c r="G195" s="287">
        <f t="shared" si="306"/>
        <v>61440</v>
      </c>
      <c r="H195" s="287">
        <f t="shared" si="306"/>
        <v>68240</v>
      </c>
      <c r="I195" s="287">
        <f t="shared" si="306"/>
        <v>73760</v>
      </c>
      <c r="J195" s="287">
        <f t="shared" si="306"/>
        <v>79200</v>
      </c>
      <c r="K195" s="287">
        <f t="shared" si="306"/>
        <v>84640</v>
      </c>
      <c r="L195" s="287">
        <f t="shared" si="306"/>
        <v>90080</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1</v>
      </c>
      <c r="C196" s="296">
        <f t="shared" si="269"/>
        <v>1</v>
      </c>
      <c r="D196" s="202"/>
      <c r="E196" s="297">
        <f>+MAX(P196,Y196,AI196)</f>
        <v>47840</v>
      </c>
      <c r="F196" s="297">
        <f t="shared" ref="F196" si="322">+MAX(Q196,Z196,AJ196)</f>
        <v>54640</v>
      </c>
      <c r="G196" s="297">
        <f t="shared" ref="G196" si="323">+MAX(R196,AA196,AK196)</f>
        <v>61440</v>
      </c>
      <c r="H196" s="297">
        <f t="shared" ref="H196" si="324">+MAX(S196,AB196,AL196)</f>
        <v>68240</v>
      </c>
      <c r="I196" s="297">
        <f t="shared" ref="I196" si="325">+MAX(T196,AC196,AM196)</f>
        <v>73760</v>
      </c>
      <c r="J196" s="297">
        <f t="shared" ref="J196" si="326">+MAX(U196,AD196,AN196)</f>
        <v>79200</v>
      </c>
      <c r="K196" s="297">
        <f t="shared" ref="K196" si="327">+MAX(V196,AE196,AO196)</f>
        <v>84640</v>
      </c>
      <c r="L196" s="297">
        <f t="shared" ref="L196" si="328">+MAX(W196,AF196,AP196)</f>
        <v>90080</v>
      </c>
      <c r="M196" s="202"/>
      <c r="N196" s="298" t="s">
        <v>3079</v>
      </c>
      <c r="O196" s="202"/>
      <c r="P196" s="299">
        <f t="shared" ref="P196:W196" si="329">P140*1.6</f>
        <v>46560</v>
      </c>
      <c r="Q196" s="299">
        <f t="shared" si="329"/>
        <v>53200</v>
      </c>
      <c r="R196" s="299">
        <f t="shared" si="329"/>
        <v>59840</v>
      </c>
      <c r="S196" s="299">
        <f t="shared" si="329"/>
        <v>66480</v>
      </c>
      <c r="T196" s="299">
        <f t="shared" si="329"/>
        <v>71840</v>
      </c>
      <c r="U196" s="299">
        <f t="shared" si="329"/>
        <v>77120</v>
      </c>
      <c r="V196" s="299">
        <f t="shared" si="329"/>
        <v>82480</v>
      </c>
      <c r="W196" s="299">
        <f t="shared" si="329"/>
        <v>87760</v>
      </c>
      <c r="X196" s="202"/>
      <c r="Y196" s="299">
        <f t="shared" ref="Y196:AF196" si="330">+Y140*1.6</f>
        <v>47840</v>
      </c>
      <c r="Z196" s="299">
        <f t="shared" si="330"/>
        <v>54640</v>
      </c>
      <c r="AA196" s="299">
        <f t="shared" si="330"/>
        <v>61440</v>
      </c>
      <c r="AB196" s="299">
        <f t="shared" si="330"/>
        <v>68240</v>
      </c>
      <c r="AC196" s="299">
        <f t="shared" si="330"/>
        <v>73760</v>
      </c>
      <c r="AD196" s="299">
        <f t="shared" si="330"/>
        <v>79200</v>
      </c>
      <c r="AE196" s="299">
        <f t="shared" si="330"/>
        <v>84640</v>
      </c>
      <c r="AF196" s="299">
        <f t="shared" si="330"/>
        <v>90080</v>
      </c>
      <c r="AG196" s="202"/>
      <c r="AH196" s="202"/>
      <c r="AI196" s="299">
        <f t="shared" ref="AI196:AP196" si="331">+AI140*1.6</f>
        <v>0</v>
      </c>
      <c r="AJ196" s="299">
        <f t="shared" si="331"/>
        <v>0</v>
      </c>
      <c r="AK196" s="299">
        <f t="shared" si="331"/>
        <v>0</v>
      </c>
      <c r="AL196" s="299">
        <f t="shared" si="331"/>
        <v>0</v>
      </c>
      <c r="AM196" s="299">
        <f t="shared" si="331"/>
        <v>0</v>
      </c>
      <c r="AN196" s="299">
        <f t="shared" si="331"/>
        <v>0</v>
      </c>
      <c r="AO196" s="299">
        <f t="shared" si="331"/>
        <v>0</v>
      </c>
      <c r="AP196" s="299">
        <f t="shared" si="331"/>
        <v>0</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3177</v>
      </c>
      <c r="BI196" s="6">
        <f t="shared" si="311"/>
        <v>83</v>
      </c>
    </row>
    <row r="197" spans="1:61" hidden="1">
      <c r="A197" s="183">
        <f t="shared" si="268"/>
        <v>0</v>
      </c>
      <c r="B197" s="183">
        <f t="shared" si="271"/>
        <v>1</v>
      </c>
      <c r="C197" s="183">
        <f t="shared" si="269"/>
        <v>1</v>
      </c>
      <c r="D197" s="202"/>
      <c r="E197" s="287">
        <f t="shared" ref="E197:L197" si="332">+MAX(E196,E198)</f>
        <v>49600</v>
      </c>
      <c r="F197" s="287">
        <f t="shared" si="332"/>
        <v>56640</v>
      </c>
      <c r="G197" s="287">
        <f t="shared" si="332"/>
        <v>63760</v>
      </c>
      <c r="H197" s="287">
        <f t="shared" si="332"/>
        <v>70800</v>
      </c>
      <c r="I197" s="287">
        <f t="shared" si="332"/>
        <v>76480</v>
      </c>
      <c r="J197" s="287">
        <f t="shared" si="332"/>
        <v>82160</v>
      </c>
      <c r="K197" s="287">
        <f t="shared" si="332"/>
        <v>87840</v>
      </c>
      <c r="L197" s="287">
        <f t="shared" si="332"/>
        <v>93520</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1</v>
      </c>
      <c r="C198" s="296">
        <f t="shared" si="269"/>
        <v>1</v>
      </c>
      <c r="D198" s="202"/>
      <c r="E198" s="297">
        <f>+MAX(P198,Y198,AI198)</f>
        <v>49600</v>
      </c>
      <c r="F198" s="297">
        <f t="shared" ref="F198" si="333">+MAX(Q198,Z198,AJ198)</f>
        <v>56640</v>
      </c>
      <c r="G198" s="297">
        <f t="shared" ref="G198" si="334">+MAX(R198,AA198,AK198)</f>
        <v>63760</v>
      </c>
      <c r="H198" s="297">
        <f t="shared" ref="H198" si="335">+MAX(S198,AB198,AL198)</f>
        <v>70800</v>
      </c>
      <c r="I198" s="297">
        <f t="shared" ref="I198" si="336">+MAX(T198,AC198,AM198)</f>
        <v>76480</v>
      </c>
      <c r="J198" s="297">
        <f t="shared" ref="J198" si="337">+MAX(U198,AD198,AN198)</f>
        <v>82160</v>
      </c>
      <c r="K198" s="297">
        <f t="shared" ref="K198" si="338">+MAX(V198,AE198,AO198)</f>
        <v>87840</v>
      </c>
      <c r="L198" s="297">
        <f t="shared" ref="L198" si="339">+MAX(W198,AF198,AP198)</f>
        <v>93520</v>
      </c>
      <c r="M198" s="202"/>
      <c r="N198" s="321" t="s">
        <v>3192</v>
      </c>
      <c r="O198" s="202"/>
      <c r="P198" s="299">
        <f t="shared" ref="P198:W198" si="340">P142*1.6</f>
        <v>48320</v>
      </c>
      <c r="Q198" s="299">
        <f t="shared" si="340"/>
        <v>55200</v>
      </c>
      <c r="R198" s="299">
        <f t="shared" si="340"/>
        <v>62080</v>
      </c>
      <c r="S198" s="299">
        <f t="shared" si="340"/>
        <v>68960</v>
      </c>
      <c r="T198" s="299">
        <f t="shared" si="340"/>
        <v>74480</v>
      </c>
      <c r="U198" s="299">
        <f t="shared" si="340"/>
        <v>80000</v>
      </c>
      <c r="V198" s="299">
        <f t="shared" si="340"/>
        <v>85520</v>
      </c>
      <c r="W198" s="299">
        <f t="shared" si="340"/>
        <v>91040</v>
      </c>
      <c r="X198" s="202"/>
      <c r="Y198" s="299">
        <f t="shared" ref="Y198:AF198" si="341">+Y142*1.6</f>
        <v>49600</v>
      </c>
      <c r="Z198" s="299">
        <f t="shared" si="341"/>
        <v>56640</v>
      </c>
      <c r="AA198" s="299">
        <f t="shared" si="341"/>
        <v>63760</v>
      </c>
      <c r="AB198" s="299">
        <f t="shared" si="341"/>
        <v>70800</v>
      </c>
      <c r="AC198" s="299">
        <f t="shared" si="341"/>
        <v>76480</v>
      </c>
      <c r="AD198" s="299">
        <f t="shared" si="341"/>
        <v>82160</v>
      </c>
      <c r="AE198" s="299">
        <f t="shared" si="341"/>
        <v>87840</v>
      </c>
      <c r="AF198" s="299">
        <f t="shared" si="341"/>
        <v>93520</v>
      </c>
      <c r="AG198" s="202"/>
      <c r="AH198" s="202"/>
      <c r="AI198" s="299">
        <f t="shared" ref="AI198:AP198" si="342">+AI142*1.6</f>
        <v>0</v>
      </c>
      <c r="AJ198" s="299">
        <f t="shared" si="342"/>
        <v>0</v>
      </c>
      <c r="AK198" s="299">
        <f t="shared" si="342"/>
        <v>0</v>
      </c>
      <c r="AL198" s="299">
        <f t="shared" si="342"/>
        <v>0</v>
      </c>
      <c r="AM198" s="299">
        <f t="shared" si="342"/>
        <v>0</v>
      </c>
      <c r="AN198" s="299">
        <f t="shared" si="342"/>
        <v>0</v>
      </c>
      <c r="AO198" s="299">
        <f t="shared" si="342"/>
        <v>0</v>
      </c>
      <c r="AP198" s="299">
        <f t="shared" si="342"/>
        <v>0</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1</v>
      </c>
      <c r="C199" s="183">
        <f t="shared" si="269"/>
        <v>1</v>
      </c>
      <c r="D199" s="202"/>
      <c r="E199" s="287">
        <f t="shared" ref="E199:L199" si="343">+MAX(E198,E200)</f>
        <v>51200</v>
      </c>
      <c r="F199" s="287">
        <f t="shared" si="343"/>
        <v>58480</v>
      </c>
      <c r="G199" s="287">
        <f t="shared" si="343"/>
        <v>65760</v>
      </c>
      <c r="H199" s="287">
        <f t="shared" si="343"/>
        <v>73040</v>
      </c>
      <c r="I199" s="287">
        <f t="shared" si="343"/>
        <v>78960</v>
      </c>
      <c r="J199" s="287">
        <f t="shared" si="343"/>
        <v>84800</v>
      </c>
      <c r="K199" s="287">
        <f t="shared" si="343"/>
        <v>90640</v>
      </c>
      <c r="L199" s="287">
        <f t="shared" si="343"/>
        <v>96480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1</v>
      </c>
      <c r="C200" s="296">
        <f t="shared" si="269"/>
        <v>1</v>
      </c>
      <c r="D200" s="202"/>
      <c r="E200" s="297">
        <f>+MAX(P200,Y200,AI200)</f>
        <v>51200</v>
      </c>
      <c r="F200" s="297">
        <f t="shared" ref="F200" si="344">+MAX(Q200,Z200,AJ200)</f>
        <v>58480</v>
      </c>
      <c r="G200" s="297">
        <f t="shared" ref="G200" si="345">+MAX(R200,AA200,AK200)</f>
        <v>65760</v>
      </c>
      <c r="H200" s="297">
        <f t="shared" ref="H200" si="346">+MAX(S200,AB200,AL200)</f>
        <v>73040</v>
      </c>
      <c r="I200" s="297">
        <f t="shared" ref="I200" si="347">+MAX(T200,AC200,AM200)</f>
        <v>78960</v>
      </c>
      <c r="J200" s="297">
        <f t="shared" ref="J200" si="348">+MAX(U200,AD200,AN200)</f>
        <v>84800</v>
      </c>
      <c r="K200" s="297">
        <f t="shared" ref="K200" si="349">+MAX(V200,AE200,AO200)</f>
        <v>90640</v>
      </c>
      <c r="L200" s="297">
        <f t="shared" ref="L200" si="350">+MAX(W200,AF200,AP200)</f>
        <v>96480</v>
      </c>
      <c r="M200" s="202"/>
      <c r="N200" s="321" t="s">
        <v>3194</v>
      </c>
      <c r="O200" s="202"/>
      <c r="P200" s="299">
        <f t="shared" ref="P200:W200" si="351">P144*1.6</f>
        <v>49840</v>
      </c>
      <c r="Q200" s="299">
        <f t="shared" si="351"/>
        <v>56960</v>
      </c>
      <c r="R200" s="299">
        <f t="shared" si="351"/>
        <v>64080</v>
      </c>
      <c r="S200" s="299">
        <f t="shared" si="351"/>
        <v>71200</v>
      </c>
      <c r="T200" s="299">
        <f t="shared" si="351"/>
        <v>76960</v>
      </c>
      <c r="U200" s="299">
        <f t="shared" si="351"/>
        <v>82640</v>
      </c>
      <c r="V200" s="299">
        <f t="shared" si="351"/>
        <v>88320</v>
      </c>
      <c r="W200" s="299">
        <f t="shared" si="351"/>
        <v>94000</v>
      </c>
      <c r="X200" s="202"/>
      <c r="Y200" s="299">
        <f t="shared" ref="Y200:AF200" si="352">+Y144*1.6</f>
        <v>51200</v>
      </c>
      <c r="Z200" s="299">
        <f t="shared" si="352"/>
        <v>58480</v>
      </c>
      <c r="AA200" s="299">
        <f t="shared" si="352"/>
        <v>65760</v>
      </c>
      <c r="AB200" s="299">
        <f t="shared" si="352"/>
        <v>73040</v>
      </c>
      <c r="AC200" s="299">
        <f t="shared" si="352"/>
        <v>78960</v>
      </c>
      <c r="AD200" s="299">
        <f t="shared" si="352"/>
        <v>84800</v>
      </c>
      <c r="AE200" s="299">
        <f t="shared" si="352"/>
        <v>90640</v>
      </c>
      <c r="AF200" s="299">
        <f t="shared" si="352"/>
        <v>96480</v>
      </c>
      <c r="AG200" s="202"/>
      <c r="AH200" s="202"/>
      <c r="AI200" s="299">
        <f t="shared" ref="AI200:AP200" si="353">+AI144*1.6</f>
        <v>0</v>
      </c>
      <c r="AJ200" s="299">
        <f t="shared" si="353"/>
        <v>0</v>
      </c>
      <c r="AK200" s="299">
        <f t="shared" si="353"/>
        <v>0</v>
      </c>
      <c r="AL200" s="299">
        <f t="shared" si="353"/>
        <v>0</v>
      </c>
      <c r="AM200" s="299">
        <f t="shared" si="353"/>
        <v>0</v>
      </c>
      <c r="AN200" s="299">
        <f t="shared" si="353"/>
        <v>0</v>
      </c>
      <c r="AO200" s="299">
        <f t="shared" si="353"/>
        <v>0</v>
      </c>
      <c r="AP200" s="299">
        <f t="shared" si="353"/>
        <v>0</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76" t="s">
        <v>1066</v>
      </c>
      <c r="Q202" s="376"/>
      <c r="R202" s="376"/>
      <c r="S202" s="376"/>
      <c r="T202" s="376"/>
      <c r="U202" s="376"/>
      <c r="V202" s="376"/>
      <c r="W202" s="376"/>
      <c r="AI202" s="376" t="s">
        <v>2223</v>
      </c>
      <c r="AJ202" s="376"/>
      <c r="AK202" s="376"/>
      <c r="AL202" s="376"/>
      <c r="AM202" s="376"/>
      <c r="AN202" s="376"/>
      <c r="AO202" s="376"/>
      <c r="AP202" s="37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12-31-2008Kaufman60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1/1/2009 - 5/13/2010Kaufman60</v>
      </c>
      <c r="P204" s="38"/>
      <c r="Q204" s="30"/>
      <c r="R204" s="30"/>
      <c r="S204" s="340">
        <f>+S120/5*10</f>
        <v>68300</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f>+MAX(S204,S206)</f>
        <v>68300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6/29/2010 - 5/30/2011Kaufman60</v>
      </c>
      <c r="P206" s="38"/>
      <c r="Q206" s="30"/>
      <c r="R206" s="30"/>
      <c r="S206" s="340">
        <f>+S122/5*10</f>
        <v>68300</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f>+MAX(S206,S208)</f>
        <v>69100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7/16/2011 - 11/31/2011Kaufman</v>
      </c>
      <c r="P208" s="38"/>
      <c r="Q208" s="30"/>
      <c r="R208" s="30"/>
      <c r="S208" s="340">
        <f>VLOOKUP($N208,'6-1-11'!$A$4:$T$257,E$146+3,FALSE)</f>
        <v>69100</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f>+MAX(S208,S210)</f>
        <v>70100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1/16/2012 - 12/3/2012Kaufman</v>
      </c>
      <c r="P210" s="38"/>
      <c r="Q210" s="30"/>
      <c r="R210" s="30"/>
      <c r="S210" s="340">
        <f>VLOOKUP($N210,'12-1-11'!$A$4:$T$257,E$146+3,FALSE)</f>
        <v>70100</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f>+MAX(S210,S212)</f>
        <v>70100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1/18/2013 - 12/17/2013Kaufman</v>
      </c>
      <c r="P212" s="38"/>
      <c r="Q212" s="30"/>
      <c r="R212" s="30"/>
      <c r="S212" s="340">
        <f>VLOOKUP($N212,'2013 placeholder'!$A$4:$T$257,E$146+3,FALSE)</f>
        <v>67500</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f>+MAX(S212,S214)</f>
        <v>67900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2/1/2014 - 3/5/2015Kaufman</v>
      </c>
      <c r="P214" s="38"/>
      <c r="Q214" s="30"/>
      <c r="R214" s="30"/>
      <c r="S214" s="343">
        <f>VLOOKUP(N214,'2014 placeholder'!A4:D257,E146+3,FALSE)</f>
        <v>67900</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f>+MAX(S214,S216)</f>
        <v>70400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4/21/2015 - 3/27/2016Kaufman</v>
      </c>
      <c r="P216" s="38"/>
      <c r="Q216" s="30"/>
      <c r="R216" s="30"/>
      <c r="S216" s="343">
        <f>VLOOKUP(N216,'2015 MTSP Limits'!A4:D257,E146+3,FALSE)</f>
        <v>70400</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f>+MAX(S216,S218)</f>
        <v>71700</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5/13/2016 - 4/13/2017Kaufman</v>
      </c>
      <c r="P218" s="38"/>
      <c r="Q218" s="30"/>
      <c r="R218" s="30"/>
      <c r="S218" s="343">
        <f>VLOOKUP(N218,MTSP2016!A4:D257,E146+3,FALSE)</f>
        <v>71700</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f>+MAX(S218,S220)</f>
        <v>73400</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5/30/2017 - 3/31/2018Kaufman</v>
      </c>
      <c r="P220" s="38"/>
      <c r="Q220" s="30"/>
      <c r="R220" s="30"/>
      <c r="S220" s="343">
        <f>VLOOKUP($N220,MTSP2017!A4:D257,E146+3,FALSE)</f>
        <v>73400</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f>MAX(S220,S222)</f>
        <v>77200</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5/17/2018 - 4/23/2019Kaufman</v>
      </c>
      <c r="P222" s="38"/>
      <c r="Q222" s="30"/>
      <c r="R222" s="30"/>
      <c r="S222" s="343">
        <f>INDEX(MTSP2018!D3:D257,MATCH('Income-Rent Tool'!N222,MTSP2018!A3:A257,0))</f>
        <v>77200</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f>MAX(S222,S224)</f>
        <v>83100</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6/9/2019 - 3/31/2020Kaufman</v>
      </c>
      <c r="P224" s="38"/>
      <c r="Q224" s="30"/>
      <c r="R224" s="30"/>
      <c r="S224" s="343">
        <f>INDEX(MTSP2019!D3:D257,MATCH('Income-Rent Tool'!N224,MTSP2019!A3:A257,0))</f>
        <v>83100</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f>MAX(S224,S226)</f>
        <v>86200</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5/17/2020 - 3/31/2021Kaufman</v>
      </c>
      <c r="P226" s="38"/>
      <c r="Q226" s="30"/>
      <c r="R226" s="30"/>
      <c r="S226" s="343">
        <f>INDEX(MTSP2020!D3:D257,MATCH('Income-Rent Tool'!N226,MTSP2020!A3:A257,0))</f>
        <v>86200</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3178</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f>MAX(S226,S228)</f>
        <v>89000</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5/17/2021Kaufman</v>
      </c>
      <c r="P228" s="40"/>
      <c r="Q228" s="43"/>
      <c r="R228" s="43"/>
      <c r="S228" s="345">
        <f>INDEX(MTSP2021!D3:D257,MATCH('Income-Rent Tool'!N228,MTSP2021!A3:A257,0))</f>
        <v>89000</v>
      </c>
      <c r="T228" s="43"/>
      <c r="U228" s="43"/>
      <c r="V228" s="43"/>
      <c r="W228" s="41"/>
      <c r="AI228" s="40"/>
      <c r="AJ228" s="43"/>
      <c r="AK228" s="43"/>
      <c r="AL228" s="291">
        <v>63400</v>
      </c>
      <c r="AM228" s="43" t="s">
        <v>3232</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91"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92"/>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92"/>
      <c r="B232" s="100"/>
      <c r="C232" s="101"/>
      <c r="D232" s="64">
        <v>30</v>
      </c>
      <c r="E232" s="65">
        <f>+VLOOKUP($N232,'HOME 2-25-2013'!$A$1:$BH$256,4+E$231,FALSE)</f>
        <v>18100</v>
      </c>
      <c r="F232" s="65">
        <f>+VLOOKUP($N232,'HOME 2-25-2013'!$A$1:$BH$256,4+F$231,FALSE)</f>
        <v>20700</v>
      </c>
      <c r="G232" s="65">
        <f>+VLOOKUP($N232,'HOME 2-25-2013'!$A$1:$BH$256,4+G$231,FALSE)</f>
        <v>23300</v>
      </c>
      <c r="H232" s="65">
        <f>+VLOOKUP($N232,'HOME 2-25-2013'!$A$1:$BH$256,4+H$231,FALSE)</f>
        <v>25850</v>
      </c>
      <c r="I232" s="65">
        <f>+VLOOKUP($N232,'HOME 2-25-2013'!$A$1:$BH$256,4+I$231,FALSE)</f>
        <v>27950</v>
      </c>
      <c r="J232" s="65">
        <f>+VLOOKUP($N232,'HOME 2-25-2013'!$A$1:$BH$256,4+J$231,FALSE)</f>
        <v>30000</v>
      </c>
      <c r="K232" s="65">
        <f>+VLOOKUP($N232,'HOME 2-25-2013'!$A$1:$BH$256,4+K$231,FALSE)</f>
        <v>32100</v>
      </c>
      <c r="L232" s="65">
        <f>+VLOOKUP($N232,'HOME 2-25-2013'!$A$1:$BH$256,4+L$231,FALSE)</f>
        <v>34150</v>
      </c>
      <c r="M232" s="110"/>
      <c r="N232" s="97" t="str">
        <f t="shared" ref="N232:N237" si="354">+B$11</f>
        <v>Kaufman</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92"/>
      <c r="B233" s="100"/>
      <c r="C233" s="101"/>
      <c r="D233" s="66">
        <v>40</v>
      </c>
      <c r="E233" s="65">
        <f>0.8*E234</f>
        <v>24160</v>
      </c>
      <c r="F233" s="65">
        <f t="shared" ref="F233:L233" si="355">0.8*F234</f>
        <v>27600</v>
      </c>
      <c r="G233" s="65">
        <f t="shared" si="355"/>
        <v>31040</v>
      </c>
      <c r="H233" s="65">
        <f t="shared" si="355"/>
        <v>34480</v>
      </c>
      <c r="I233" s="65">
        <f t="shared" si="355"/>
        <v>37240</v>
      </c>
      <c r="J233" s="65">
        <f t="shared" si="355"/>
        <v>40000</v>
      </c>
      <c r="K233" s="65">
        <f t="shared" si="355"/>
        <v>42760</v>
      </c>
      <c r="L233" s="65">
        <f t="shared" si="355"/>
        <v>45520</v>
      </c>
      <c r="M233" s="110"/>
      <c r="N233" s="97" t="str">
        <f t="shared" si="354"/>
        <v>Kaufman</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92"/>
      <c r="B234" s="100"/>
      <c r="C234" s="101"/>
      <c r="D234" s="66">
        <v>50</v>
      </c>
      <c r="E234" s="65">
        <f>+VLOOKUP($N233,'HOME 2-25-2013'!$A$1:$BH$256,12+E$231,FALSE)</f>
        <v>30200</v>
      </c>
      <c r="F234" s="65">
        <f>+VLOOKUP($N233,'HOME 2-25-2013'!$A$1:$BH$256,12+F$231,FALSE)</f>
        <v>34500</v>
      </c>
      <c r="G234" s="65">
        <f>+VLOOKUP($N233,'HOME 2-25-2013'!$A$1:$BH$256,12+G$231,FALSE)</f>
        <v>38800</v>
      </c>
      <c r="H234" s="65">
        <f>+VLOOKUP($N233,'HOME 2-25-2013'!$A$1:$BH$256,12+H$231,FALSE)</f>
        <v>43100</v>
      </c>
      <c r="I234" s="65">
        <f>+VLOOKUP($N233,'HOME 2-25-2013'!$A$1:$BH$256,12+I$231,FALSE)</f>
        <v>46550</v>
      </c>
      <c r="J234" s="65">
        <f>+VLOOKUP($N233,'HOME 2-25-2013'!$A$1:$BH$256,12+J$231,FALSE)</f>
        <v>50000</v>
      </c>
      <c r="K234" s="65">
        <f>+VLOOKUP($N233,'HOME 2-25-2013'!$A$1:$BH$256,12+K$231,FALSE)</f>
        <v>53450</v>
      </c>
      <c r="L234" s="65">
        <f>+VLOOKUP($N233,'HOME 2-25-2013'!$A$1:$BH$256,12+L$231,FALSE)</f>
        <v>56900</v>
      </c>
      <c r="M234" s="110"/>
      <c r="N234" s="97" t="str">
        <f t="shared" si="354"/>
        <v>Kaufman</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92"/>
      <c r="B235" s="100"/>
      <c r="C235" s="101"/>
      <c r="D235" s="66">
        <v>60</v>
      </c>
      <c r="E235" s="65">
        <f>+VLOOKUP($N234,'HOME 2-25-2013'!$A$1:$BH$256,20+E$231,FALSE)</f>
        <v>36240</v>
      </c>
      <c r="F235" s="65">
        <f>+VLOOKUP($N234,'HOME 2-25-2013'!$A$1:$BH$256,20+F$231,FALSE)</f>
        <v>41400</v>
      </c>
      <c r="G235" s="65">
        <f>+VLOOKUP($N234,'HOME 2-25-2013'!$A$1:$BH$256,20+G$231,FALSE)</f>
        <v>46560</v>
      </c>
      <c r="H235" s="65">
        <f>+VLOOKUP($N234,'HOME 2-25-2013'!$A$1:$BH$256,20+H$231,FALSE)</f>
        <v>51720</v>
      </c>
      <c r="I235" s="65">
        <f>+VLOOKUP($N234,'HOME 2-25-2013'!$A$1:$BH$256,20+I$231,FALSE)</f>
        <v>55860</v>
      </c>
      <c r="J235" s="65">
        <f>+VLOOKUP($N234,'HOME 2-25-2013'!$A$1:$BH$256,20+J$231,FALSE)</f>
        <v>60000</v>
      </c>
      <c r="K235" s="65">
        <f>+VLOOKUP($N234,'HOME 2-25-2013'!$A$1:$BH$256,20+K$231,FALSE)</f>
        <v>64140</v>
      </c>
      <c r="L235" s="65">
        <f>+VLOOKUP($N234,'HOME 2-25-2013'!$A$1:$BH$256,20+L$231,FALSE)</f>
        <v>68280</v>
      </c>
      <c r="M235" s="110"/>
      <c r="N235" s="97" t="str">
        <f t="shared" si="354"/>
        <v>Kaufman</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92"/>
      <c r="B236" s="100"/>
      <c r="C236" s="101"/>
      <c r="D236" s="67">
        <v>80</v>
      </c>
      <c r="E236" s="142">
        <f>+VLOOKUP($N235,'HOME 2-25-2013'!$A$1:$BH$256,28+E$231,FALSE)</f>
        <v>48300</v>
      </c>
      <c r="F236" s="68">
        <f>+VLOOKUP($N235,'HOME 2-25-2013'!$A$1:$BH$256,28+F$231,FALSE)</f>
        <v>55200</v>
      </c>
      <c r="G236" s="68">
        <f>+VLOOKUP($N235,'HOME 2-25-2013'!$A$1:$BH$256,28+G$231,FALSE)</f>
        <v>62100</v>
      </c>
      <c r="H236" s="68">
        <f>+VLOOKUP($N235,'HOME 2-25-2013'!$A$1:$BH$256,28+H$231,FALSE)</f>
        <v>68950</v>
      </c>
      <c r="I236" s="68">
        <f>+VLOOKUP($N235,'HOME 2-25-2013'!$A$1:$BH$256,28+I$231,FALSE)</f>
        <v>74500</v>
      </c>
      <c r="J236" s="68">
        <f>+VLOOKUP($N235,'HOME 2-25-2013'!$A$1:$BH$256,28+J$231,FALSE)</f>
        <v>80000</v>
      </c>
      <c r="K236" s="68">
        <f>+VLOOKUP($N235,'HOME 2-25-2013'!$A$1:$BH$256,28+K$231,FALSE)</f>
        <v>85500</v>
      </c>
      <c r="L236" s="143">
        <f>+VLOOKUP($N235,'HOME 2-25-2013'!$A$1:$BH$256,28+L$231,FALSE)</f>
        <v>91050</v>
      </c>
      <c r="M236" s="110"/>
      <c r="N236" s="97" t="str">
        <f t="shared" si="354"/>
        <v>Kaufman</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92"/>
      <c r="B237" s="100"/>
      <c r="C237" s="101"/>
      <c r="D237" s="70">
        <v>120</v>
      </c>
      <c r="E237" s="65"/>
      <c r="F237" s="65"/>
      <c r="G237" s="65"/>
      <c r="H237" s="65"/>
      <c r="I237" s="65"/>
      <c r="J237" s="65"/>
      <c r="K237" s="65"/>
      <c r="L237" s="65"/>
      <c r="M237" s="110"/>
      <c r="N237" s="97" t="str">
        <f t="shared" si="354"/>
        <v>Kaufman</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92"/>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92"/>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92"/>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3179</v>
      </c>
      <c r="BI240" s="6" t="e">
        <f t="shared" si="356"/>
        <v>#N/A</v>
      </c>
    </row>
    <row r="241" spans="1:61" hidden="1">
      <c r="A241" s="392"/>
      <c r="B241" s="100"/>
      <c r="C241" s="101"/>
      <c r="D241" s="64">
        <v>30</v>
      </c>
      <c r="E241" s="65">
        <f>ROUNDDOWN(0.3*E232/12,0)</f>
        <v>452</v>
      </c>
      <c r="F241" s="65">
        <f>ROUNDDOWN(AVERAGE(E232,F232)/12*0.3,0)</f>
        <v>485</v>
      </c>
      <c r="G241" s="65">
        <f>ROUNDDOWN(0.3*G232/12,0)</f>
        <v>582</v>
      </c>
      <c r="H241" s="65">
        <f>ROUNDDOWN(AVERAGE(I232,H232)/12*0.3,0)</f>
        <v>672</v>
      </c>
      <c r="I241" s="65">
        <f>ROUNDDOWN(0.3*J232/12,0)</f>
        <v>750</v>
      </c>
      <c r="J241" s="65">
        <f>ROUNDDOWN(AVERAGE(K232,L232)/12*0.3,0)</f>
        <v>828</v>
      </c>
      <c r="K241" s="53"/>
      <c r="L241" s="54"/>
      <c r="M241" s="110"/>
      <c r="N241" s="97" t="str">
        <f>+B$11</f>
        <v>Kaufman</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92"/>
      <c r="B242" s="100"/>
      <c r="C242" s="101"/>
      <c r="D242" s="66">
        <v>40</v>
      </c>
      <c r="E242" s="65">
        <f>ROUNDDOWN(0.3*E233/12,0)</f>
        <v>604</v>
      </c>
      <c r="F242" s="65">
        <f>ROUNDDOWN(AVERAGE(E233,F233)/12*0.3,0)</f>
        <v>647</v>
      </c>
      <c r="G242" s="65">
        <f>ROUNDDOWN(0.3*G233/12,0)</f>
        <v>776</v>
      </c>
      <c r="H242" s="65">
        <f>ROUNDDOWN(AVERAGE(I233,H233)/12*0.3,0)</f>
        <v>896</v>
      </c>
      <c r="I242" s="65">
        <f>ROUNDDOWN(0.3*J233/12,0)</f>
        <v>1000</v>
      </c>
      <c r="J242" s="65">
        <f>ROUNDDOWN(AVERAGE(K233,L233)/12*0.3,0)</f>
        <v>1103</v>
      </c>
      <c r="K242" s="44"/>
      <c r="L242" s="45"/>
      <c r="M242" s="110"/>
      <c r="N242" s="97" t="str">
        <f>+B$11</f>
        <v>Kaufman</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92"/>
      <c r="B243" s="100"/>
      <c r="C243" s="101"/>
      <c r="D243" s="70" t="s">
        <v>1366</v>
      </c>
      <c r="E243" s="65">
        <f>+VLOOKUP($N$250,'2019 HOME rent 6-28-2019'!$A$2:$P$256,5+$E$247,FALSE)</f>
        <v>727</v>
      </c>
      <c r="F243" s="65">
        <f>+VLOOKUP($N$250,'2019 HOME rent 6-28-2019'!$A$2:$P$256,6+$E$247,FALSE)</f>
        <v>779</v>
      </c>
      <c r="G243" s="65">
        <f>+VLOOKUP($N$250,'2019 HOME rent 6-28-2019'!$A$2:$P$256,7+$E$247,FALSE)</f>
        <v>935</v>
      </c>
      <c r="H243" s="65">
        <f>+VLOOKUP($N$250,'2019 HOME rent 6-28-2019'!$A$2:$P$256,8+$E$247,FALSE)</f>
        <v>1080</v>
      </c>
      <c r="I243" s="65">
        <f>+VLOOKUP($N$250,'2019 HOME rent 6-28-2019'!$A$2:$P$256,9+$E$247,FALSE)</f>
        <v>1205</v>
      </c>
      <c r="J243" s="65">
        <f>+VLOOKUP($N$250,'2019 HOME rent 6-28-2019'!$A$2:$P$256,10+$E$247,FALSE)</f>
        <v>1330</v>
      </c>
      <c r="K243" s="44"/>
      <c r="L243" s="45"/>
      <c r="M243" s="110"/>
      <c r="N243" s="97" t="str">
        <f>+B$11</f>
        <v>Kaufman</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92"/>
      <c r="B244" s="100"/>
      <c r="C244" s="101"/>
      <c r="D244" s="70" t="s">
        <v>1367</v>
      </c>
      <c r="E244" s="65">
        <f>+VLOOKUP($N$250,'2019 HOME rent 6-28-2019'!$A$2:$P$256,11+$E$247,FALSE)</f>
        <v>836</v>
      </c>
      <c r="F244" s="65">
        <f>+VLOOKUP($N$250,'2019 HOME rent 6-28-2019'!$A$2:$P$256,12+$E$247,FALSE)</f>
        <v>989</v>
      </c>
      <c r="G244" s="65">
        <f>+VLOOKUP($N$250,'2019 HOME rent 6-28-2019'!$A$2:$P$256,13+$E$247,FALSE)</f>
        <v>1193</v>
      </c>
      <c r="H244" s="65">
        <f>+VLOOKUP($N$250,'2019 HOME rent 6-28-2019'!$A$2:$P$256,14+$E$247,FALSE)</f>
        <v>1370</v>
      </c>
      <c r="I244" s="65">
        <f>+VLOOKUP($N$250,'2019 HOME rent 6-28-2019'!$A$2:$P$256,15+$E$247,FALSE)</f>
        <v>1509</v>
      </c>
      <c r="J244" s="65">
        <f>+VLOOKUP($N$250,'2019 HOME rent 6-28-2019'!$A$2:$P$256,16+$E$247,FALSE)</f>
        <v>1647</v>
      </c>
      <c r="K244" s="44"/>
      <c r="L244" s="45"/>
      <c r="M244" s="110"/>
      <c r="N244" s="97" t="str">
        <f>+B$11</f>
        <v>Kaufman</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92"/>
      <c r="B245" s="103"/>
      <c r="C245" s="104"/>
      <c r="D245" s="55"/>
      <c r="E245" s="56"/>
      <c r="F245" s="56"/>
      <c r="G245" s="56"/>
      <c r="H245" s="56"/>
      <c r="I245" s="56"/>
      <c r="J245" s="57"/>
      <c r="K245" s="46"/>
      <c r="L245" s="47"/>
      <c r="M245" s="112"/>
      <c r="N245" s="97" t="str">
        <f>+B$11</f>
        <v>Kaufman</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92"/>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92"/>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92"/>
      <c r="B248" s="100"/>
      <c r="C248" s="101"/>
      <c r="D248" s="64">
        <v>30</v>
      </c>
      <c r="E248" s="65">
        <f>ROUNDDOWN(0.3*E232/12,0)</f>
        <v>452</v>
      </c>
      <c r="F248" s="65">
        <f>ROUNDDOWN(AVERAGE(E232,F232)/12*0.3,0)</f>
        <v>485</v>
      </c>
      <c r="G248" s="65">
        <f>ROUNDDOWN(0.3*G232/12,0)</f>
        <v>582</v>
      </c>
      <c r="H248" s="65">
        <f>ROUNDDOWN(AVERAGE(I232,H232)/12*0.3,0)</f>
        <v>672</v>
      </c>
      <c r="I248" s="65">
        <f>ROUNDDOWN(0.3*J232/12,0)</f>
        <v>750</v>
      </c>
      <c r="J248" s="65">
        <f>ROUNDDOWN(AVERAGE(K232,L232)/12*0.3,0)</f>
        <v>828</v>
      </c>
      <c r="K248" s="53"/>
      <c r="L248" s="54"/>
      <c r="M248" s="110"/>
      <c r="N248" s="97" t="str">
        <f>+B$11</f>
        <v>Kaufman</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92"/>
      <c r="B249" s="100"/>
      <c r="C249" s="101"/>
      <c r="D249" s="70">
        <v>40</v>
      </c>
      <c r="E249" s="65">
        <f>ROUNDDOWN(0.3*E233/12,0)</f>
        <v>604</v>
      </c>
      <c r="F249" s="65">
        <f>ROUNDDOWN(AVERAGE(E233,F233)/12*0.3,0)</f>
        <v>647</v>
      </c>
      <c r="G249" s="65">
        <f>ROUNDDOWN(0.3*G233/12,0)</f>
        <v>776</v>
      </c>
      <c r="H249" s="65">
        <f>ROUNDDOWN(AVERAGE(I233,H233)/12*0.3,0)</f>
        <v>896</v>
      </c>
      <c r="I249" s="65">
        <f>ROUNDDOWN(0.3*J233/12,0)</f>
        <v>1000</v>
      </c>
      <c r="J249" s="65">
        <f>ROUNDDOWN(AVERAGE(K233,L233)/12*0.3,0)</f>
        <v>1103</v>
      </c>
      <c r="K249" s="44"/>
      <c r="L249" s="45"/>
      <c r="M249" s="110"/>
      <c r="N249" s="97" t="str">
        <f>+B$11</f>
        <v>Kaufman</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92"/>
      <c r="B250" s="100"/>
      <c r="C250" s="101"/>
      <c r="D250" s="70" t="s">
        <v>1366</v>
      </c>
      <c r="E250" s="65">
        <f>+VLOOKUP($N$250,'2020 HOME rent 7-1-2020'!$A$2:$P$256,5+$E$247,FALSE)</f>
        <v>755</v>
      </c>
      <c r="F250" s="65">
        <f>+VLOOKUP($N$250,'2020 HOME rent 7-1-2020'!$A$2:$P$256,6+$E$247,FALSE)</f>
        <v>808</v>
      </c>
      <c r="G250" s="65">
        <f>+VLOOKUP($N$250,'2020 HOME rent 7-1-2020'!$A$2:$P$256,7+$E$247,FALSE)</f>
        <v>970</v>
      </c>
      <c r="H250" s="65">
        <f>+VLOOKUP($N$250,'2020 HOME rent 7-1-2020'!$A$2:$P$256,8+$E$247,FALSE)</f>
        <v>1120</v>
      </c>
      <c r="I250" s="65">
        <f>+VLOOKUP($N$250,'2020 HOME rent 7-1-2020'!$A$2:$P$256,9+$E$247,FALSE)</f>
        <v>1250</v>
      </c>
      <c r="J250" s="65">
        <f>+VLOOKUP($N$250,'2020 HOME rent 7-1-2020'!$A$2:$P$256,10+$E$247,FALSE)</f>
        <v>1379</v>
      </c>
      <c r="K250" s="44"/>
      <c r="L250" s="45"/>
      <c r="M250" s="110"/>
      <c r="N250" s="97" t="str">
        <f>+B$11</f>
        <v>Kaufman</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92"/>
      <c r="B251" s="100"/>
      <c r="C251" s="101"/>
      <c r="D251" s="70" t="s">
        <v>1367</v>
      </c>
      <c r="E251" s="65">
        <f>+VLOOKUP($N$250,'2020 HOME rent 7-1-2020'!$A$2:$P$256,11+$E$247,FALSE)</f>
        <v>957</v>
      </c>
      <c r="F251" s="65">
        <f>+VLOOKUP($N$250,'2020 HOME rent 7-1-2020'!$A$2:$P$256,12+$E$247,FALSE)</f>
        <v>1031</v>
      </c>
      <c r="G251" s="65">
        <f>+VLOOKUP($N$250,'2020 HOME rent 7-1-2020'!$A$2:$P$256,13+$E$247,FALSE)</f>
        <v>1239</v>
      </c>
      <c r="H251" s="65">
        <f>+VLOOKUP($N$250,'2020 HOME rent 7-1-2020'!$A$2:$P$256,14+$E$247,FALSE)</f>
        <v>1424</v>
      </c>
      <c r="I251" s="65">
        <f>+VLOOKUP($N$250,'2020 HOME rent 7-1-2020'!$A$2:$P$256,15+$E$247,FALSE)</f>
        <v>1569</v>
      </c>
      <c r="J251" s="65">
        <f>+VLOOKUP($N$250,'2020 HOME rent 7-1-2020'!$A$2:$P$256,16+$E$247,FALSE)</f>
        <v>1712</v>
      </c>
      <c r="K251" s="44"/>
      <c r="L251" s="45"/>
      <c r="M251" s="110"/>
      <c r="N251" s="97" t="str">
        <f>+B$11</f>
        <v>Kaufman</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92"/>
      <c r="B252" s="103"/>
      <c r="C252" s="104"/>
      <c r="D252" s="55"/>
      <c r="E252" s="56"/>
      <c r="F252" s="56"/>
      <c r="G252" s="56"/>
      <c r="H252" s="56"/>
      <c r="I252" s="56"/>
      <c r="J252" s="57"/>
      <c r="K252" s="46"/>
      <c r="L252" s="47"/>
      <c r="M252" s="112"/>
      <c r="N252" s="113" t="str">
        <f>+B$11</f>
        <v>Kaufman</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86"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87"/>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87"/>
      <c r="B256" s="133"/>
      <c r="C256" s="134"/>
      <c r="D256" s="126">
        <v>30</v>
      </c>
      <c r="E256" s="127">
        <f>+E258*0.6</f>
        <v>18120</v>
      </c>
      <c r="F256" s="127">
        <f t="shared" ref="F256:L256" si="357">+F258*0.6</f>
        <v>20700</v>
      </c>
      <c r="G256" s="127">
        <f t="shared" si="357"/>
        <v>23280</v>
      </c>
      <c r="H256" s="127">
        <f t="shared" si="357"/>
        <v>25860</v>
      </c>
      <c r="I256" s="127">
        <f t="shared" si="357"/>
        <v>27930</v>
      </c>
      <c r="J256" s="127">
        <f t="shared" si="357"/>
        <v>30000</v>
      </c>
      <c r="K256" s="127">
        <f t="shared" si="357"/>
        <v>32070</v>
      </c>
      <c r="L256" s="127">
        <f t="shared" si="357"/>
        <v>34140</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87"/>
      <c r="B257" s="133"/>
      <c r="C257" s="134"/>
      <c r="D257" s="128">
        <v>40</v>
      </c>
      <c r="E257" s="127">
        <f>+E258*0.8</f>
        <v>24160</v>
      </c>
      <c r="F257" s="127">
        <f t="shared" ref="F257:L257" si="358">+F258*0.8</f>
        <v>27600</v>
      </c>
      <c r="G257" s="127">
        <f t="shared" si="358"/>
        <v>31040</v>
      </c>
      <c r="H257" s="127">
        <f t="shared" si="358"/>
        <v>34480</v>
      </c>
      <c r="I257" s="127">
        <f t="shared" si="358"/>
        <v>37240</v>
      </c>
      <c r="J257" s="127">
        <f t="shared" si="358"/>
        <v>40000</v>
      </c>
      <c r="K257" s="127">
        <f t="shared" si="358"/>
        <v>42760</v>
      </c>
      <c r="L257" s="127">
        <f t="shared" si="358"/>
        <v>45520</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26.25" hidden="1">
      <c r="A258" s="387"/>
      <c r="B258" s="133"/>
      <c r="C258" s="134"/>
      <c r="D258" s="128">
        <v>50</v>
      </c>
      <c r="E258" s="127">
        <f>+VLOOKUP($N258,'NSP12-I'!$A$3:$R$257,2+E$255)</f>
        <v>30200</v>
      </c>
      <c r="F258" s="127">
        <f>+VLOOKUP($N258,'NSP12-I'!$A$3:$R$257,2+F$255)</f>
        <v>34500</v>
      </c>
      <c r="G258" s="127">
        <f>+VLOOKUP($N258,'NSP12-I'!$A$3:$R$257,2+G$255)</f>
        <v>38800</v>
      </c>
      <c r="H258" s="127">
        <f>+VLOOKUP($N258,'NSP12-I'!$A$3:$R$257,2+H$255)</f>
        <v>43100</v>
      </c>
      <c r="I258" s="127">
        <f>+VLOOKUP($N258,'NSP12-I'!$A$3:$R$257,2+I$255)</f>
        <v>46550</v>
      </c>
      <c r="J258" s="127">
        <f>+VLOOKUP($N258,'NSP12-I'!$A$3:$R$257,2+J$255)</f>
        <v>50000</v>
      </c>
      <c r="K258" s="127">
        <f>+VLOOKUP($N258,'NSP12-I'!$A$3:$R$257,2+K$255)</f>
        <v>53450</v>
      </c>
      <c r="L258" s="127">
        <f>+VLOOKUP($N258,'NSP12-I'!$A$3:$R$257,2+L$255)</f>
        <v>56900</v>
      </c>
      <c r="M258" s="110"/>
      <c r="N258" s="97" t="str">
        <f>+CONCATENATE($B$11)</f>
        <v>Kaufman</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t="26.25" hidden="1">
      <c r="A259" s="387"/>
      <c r="B259" s="133"/>
      <c r="C259" s="134"/>
      <c r="D259" s="128">
        <v>60</v>
      </c>
      <c r="E259" s="127">
        <f>+E258*1.2</f>
        <v>36240</v>
      </c>
      <c r="F259" s="127">
        <f t="shared" ref="F259:L259" si="359">+F258*1.2</f>
        <v>41400</v>
      </c>
      <c r="G259" s="127">
        <f t="shared" si="359"/>
        <v>46560</v>
      </c>
      <c r="H259" s="127">
        <f t="shared" si="359"/>
        <v>51720</v>
      </c>
      <c r="I259" s="127">
        <f t="shared" si="359"/>
        <v>55860</v>
      </c>
      <c r="J259" s="127">
        <f t="shared" si="359"/>
        <v>60000</v>
      </c>
      <c r="K259" s="127">
        <f t="shared" si="359"/>
        <v>64140</v>
      </c>
      <c r="L259" s="127">
        <f t="shared" si="359"/>
        <v>68280</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87"/>
      <c r="B260" s="133"/>
      <c r="C260" s="134"/>
      <c r="D260" s="129">
        <v>80</v>
      </c>
      <c r="E260" s="130">
        <f>+E258*1.6</f>
        <v>48320</v>
      </c>
      <c r="F260" s="130">
        <f t="shared" ref="F260:L260" si="360">+F258*1.6</f>
        <v>55200</v>
      </c>
      <c r="G260" s="130">
        <f t="shared" si="360"/>
        <v>62080</v>
      </c>
      <c r="H260" s="130">
        <f t="shared" si="360"/>
        <v>68960</v>
      </c>
      <c r="I260" s="130">
        <f t="shared" si="360"/>
        <v>74480</v>
      </c>
      <c r="J260" s="130">
        <f t="shared" si="360"/>
        <v>80000</v>
      </c>
      <c r="K260" s="130">
        <f t="shared" si="360"/>
        <v>85520</v>
      </c>
      <c r="L260" s="130">
        <f t="shared" si="360"/>
        <v>91040</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87"/>
      <c r="B261" s="133"/>
      <c r="C261" s="134"/>
      <c r="D261" s="129">
        <v>120</v>
      </c>
      <c r="E261" s="130">
        <f>+VLOOKUP($N261,'NSP12-I'!$A$3:$R$257,10+E$255)</f>
        <v>72400</v>
      </c>
      <c r="F261" s="130">
        <f>+VLOOKUP($N261,'NSP12-I'!$A$3:$R$257,10+F$255)</f>
        <v>82750</v>
      </c>
      <c r="G261" s="130">
        <f>+VLOOKUP($N261,'NSP12-I'!$A$3:$R$257,10+G$255)</f>
        <v>93100</v>
      </c>
      <c r="H261" s="130">
        <f>+VLOOKUP($N261,'NSP12-I'!$A$3:$R$257,10+H$255)</f>
        <v>103450</v>
      </c>
      <c r="I261" s="130">
        <f>+VLOOKUP($N261,'NSP12-I'!$A$3:$R$257,10+I$255)</f>
        <v>111700</v>
      </c>
      <c r="J261" s="130">
        <f>+VLOOKUP($N261,'NSP12-I'!$A$3:$R$257,10+J$255)</f>
        <v>120000</v>
      </c>
      <c r="K261" s="130">
        <f>+VLOOKUP($N261,'NSP12-I'!$A$3:$R$257,10+K$255)</f>
        <v>128250</v>
      </c>
      <c r="L261" s="130">
        <f>+VLOOKUP($N261,'NSP12-I'!$A$3:$R$257,10+L$255)</f>
        <v>136550</v>
      </c>
      <c r="M261" s="112"/>
      <c r="N261" s="113" t="str">
        <f>+CONCATENATE($B$11)</f>
        <v>Kaufman</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87"/>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87"/>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87"/>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87"/>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87"/>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3180</v>
      </c>
      <c r="BI266" s="6" t="e">
        <f t="shared" si="356"/>
        <v>#N/A</v>
      </c>
    </row>
    <row r="267" spans="1:61" hidden="1">
      <c r="A267" s="387"/>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87"/>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88"/>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78"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79"/>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79"/>
      <c r="B273" s="232"/>
      <c r="C273" s="233"/>
      <c r="D273" s="241">
        <v>15</v>
      </c>
      <c r="E273" s="253">
        <f>ROUNDUP(E274/2,0)</f>
        <v>9050</v>
      </c>
      <c r="F273" s="253">
        <f t="shared" ref="F273:L273" si="362">ROUNDUP(F274/2,0)</f>
        <v>10350</v>
      </c>
      <c r="G273" s="253">
        <f t="shared" si="362"/>
        <v>11650</v>
      </c>
      <c r="H273" s="253">
        <f t="shared" si="362"/>
        <v>13100</v>
      </c>
      <c r="I273" s="253">
        <f t="shared" si="362"/>
        <v>15340</v>
      </c>
      <c r="J273" s="253">
        <f t="shared" si="362"/>
        <v>17580</v>
      </c>
      <c r="K273" s="253">
        <f t="shared" si="362"/>
        <v>19820</v>
      </c>
      <c r="L273" s="253">
        <f t="shared" si="362"/>
        <v>22060</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79"/>
      <c r="B274" s="232"/>
      <c r="C274" s="233"/>
      <c r="D274" s="241">
        <v>30</v>
      </c>
      <c r="E274" s="242">
        <f>INDEX(NHTF2018!D4:D259,MATCH($N$274, NHTF2018!$A$4:$A$259, 0))</f>
        <v>18100</v>
      </c>
      <c r="F274" s="242">
        <f>INDEX(NHTF2018!E4:E259,MATCH($N$274, NHTF2018!$A$4:$A$259, 0))</f>
        <v>20700</v>
      </c>
      <c r="G274" s="242">
        <f>INDEX(NHTF2018!F4:F259,MATCH($N$274, NHTF2018!$A$4:$A$259, 0))</f>
        <v>23300</v>
      </c>
      <c r="H274" s="242">
        <f>INDEX(NHTF2018!G4:G259,MATCH($N$274, NHTF2018!$A$4:$A$259, 0))</f>
        <v>26200</v>
      </c>
      <c r="I274" s="242">
        <f>INDEX(NHTF2018!H4:H259,MATCH($N$274, NHTF2018!$A$4:$A$259, 0))</f>
        <v>30680</v>
      </c>
      <c r="J274" s="242">
        <f>INDEX(NHTF2018!I4:I259,MATCH($N$274, NHTF2018!$A$4:$A$259, 0))</f>
        <v>35160</v>
      </c>
      <c r="K274" s="242">
        <f>INDEX(NHTF2018!J4:J259,MATCH($N$274, NHTF2018!$A$4:$A$259, 0))</f>
        <v>39640</v>
      </c>
      <c r="L274" s="242">
        <f>INDEX(NHTF2018!K4:K259,MATCH($N$274, NHTF2018!$A$4:$A$259, 0))</f>
        <v>44120</v>
      </c>
      <c r="N274" s="6" t="str">
        <f>+CONCATENATE($B$11)</f>
        <v>Kaufman</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79"/>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79"/>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79"/>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79"/>
      <c r="B278" s="232"/>
      <c r="C278" s="233"/>
      <c r="D278" s="241">
        <v>15</v>
      </c>
      <c r="E278" s="253">
        <f>ROUNDUP(E279/2,0)</f>
        <v>226</v>
      </c>
      <c r="F278" s="253">
        <f t="shared" ref="F278:J278" si="363">ROUNDUP(F279/2,0)</f>
        <v>243</v>
      </c>
      <c r="G278" s="253">
        <f t="shared" si="363"/>
        <v>291</v>
      </c>
      <c r="H278" s="253">
        <f t="shared" si="363"/>
        <v>356</v>
      </c>
      <c r="I278" s="253">
        <f t="shared" si="363"/>
        <v>440</v>
      </c>
      <c r="J278" s="253">
        <f t="shared" si="363"/>
        <v>524</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79"/>
      <c r="B279" s="232"/>
      <c r="C279" s="233"/>
      <c r="D279" s="241">
        <v>30</v>
      </c>
      <c r="E279" s="242">
        <f>INDEX(NHTF2018!P4:P259,MATCH($N$274, NHTF2018!$A$4:$A$259, 0))</f>
        <v>452</v>
      </c>
      <c r="F279" s="242">
        <f>INDEX(NHTF2018!Q4:Q259,MATCH($N$274, NHTF2018!$A$4:$A$259, 0))</f>
        <v>485</v>
      </c>
      <c r="G279" s="242">
        <f>INDEX(NHTF2018!R4:R259,MATCH($N$274, NHTF2018!$A$4:$A$259, 0))</f>
        <v>582</v>
      </c>
      <c r="H279" s="242">
        <f>INDEX(NHTF2018!S4:S259,MATCH($N$274, NHTF2018!$A$4:$A$259, 0))</f>
        <v>711</v>
      </c>
      <c r="I279" s="242">
        <f>INDEX(NHTF2018!T4:T259,MATCH($N$274, NHTF2018!$A$4:$A$259, 0))</f>
        <v>879</v>
      </c>
      <c r="J279" s="242">
        <f>INDEX(NHTF2018!U4:U259,MATCH($N$274, NHTF2018!$A$4:$A$259, 0))</f>
        <v>1047</v>
      </c>
      <c r="K279" s="237"/>
      <c r="L279" s="244"/>
      <c r="N279" s="97" t="str">
        <f>+CONCATENATE($B$11)</f>
        <v>Kaufman</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3181</v>
      </c>
      <c r="BI279" s="6" t="e">
        <f t="shared" si="361"/>
        <v>#N/A</v>
      </c>
    </row>
    <row r="280" spans="1:61" hidden="1">
      <c r="A280" s="379"/>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79"/>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26.25" hidden="1">
      <c r="A282" s="379"/>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79"/>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79"/>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79"/>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79"/>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79"/>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80"/>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ht="26.25">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3182</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3183</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3184</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3185</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3186</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3187</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3188</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3189</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3190</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3191</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urbeBuWnQEMZr2yXLzIf1W+GQM1AcpKavjWXAd974OztgU5D5UXx9yozDBkHC50Q9j8tSabEZEMXin/3GoLe+w==" saltValue="waJUNrHctkH4IUM0RSX6MA==" spinCount="100000" sheet="1" objects="1" scenarios="1"/>
  <sortState xmlns:xlrd2="http://schemas.microsoft.com/office/spreadsheetml/2017/richdata2" ref="BE11:BE1113">
    <sortCondition ref="BE11:BE1113"/>
  </sortState>
  <dataConsolidate/>
  <mergeCells count="46">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 ref="P146:W146"/>
    <mergeCell ref="P62:W62"/>
    <mergeCell ref="AI146:AP146"/>
    <mergeCell ref="AI174:AP174"/>
    <mergeCell ref="P90:W90"/>
    <mergeCell ref="P118:W118"/>
    <mergeCell ref="Y62:AF62"/>
    <mergeCell ref="AI62:AP62"/>
    <mergeCell ref="AI90:AP90"/>
    <mergeCell ref="AI118:AP11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3192</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3194</v>
      </c>
    </row>
    <row r="3" spans="1:44">
      <c r="B3" t="s">
        <v>1065</v>
      </c>
      <c r="C3" t="s">
        <v>2229</v>
      </c>
      <c r="D3" t="s">
        <v>3195</v>
      </c>
      <c r="E3" s="317" t="s">
        <v>3196</v>
      </c>
      <c r="F3" s="317" t="s">
        <v>3197</v>
      </c>
      <c r="G3" s="317" t="s">
        <v>3198</v>
      </c>
      <c r="H3" s="317" t="s">
        <v>3199</v>
      </c>
      <c r="I3" s="317" t="s">
        <v>3200</v>
      </c>
      <c r="J3" s="317" t="s">
        <v>3201</v>
      </c>
      <c r="K3" s="317" t="s">
        <v>3202</v>
      </c>
      <c r="L3" s="317" t="s">
        <v>3203</v>
      </c>
      <c r="M3" s="318" t="s">
        <v>3204</v>
      </c>
      <c r="N3" s="318" t="s">
        <v>3205</v>
      </c>
      <c r="O3" s="318" t="s">
        <v>3206</v>
      </c>
      <c r="P3" s="318" t="s">
        <v>3207</v>
      </c>
      <c r="Q3" s="318" t="s">
        <v>3208</v>
      </c>
      <c r="R3" s="318" t="s">
        <v>3209</v>
      </c>
      <c r="S3" s="318" t="s">
        <v>3210</v>
      </c>
      <c r="T3" s="318" t="s">
        <v>3211</v>
      </c>
      <c r="U3" t="s">
        <v>3212</v>
      </c>
      <c r="V3" s="204" t="s">
        <v>3213</v>
      </c>
      <c r="W3" s="204" t="s">
        <v>3214</v>
      </c>
      <c r="X3" s="204" t="s">
        <v>3215</v>
      </c>
      <c r="Y3" s="204" t="s">
        <v>3216</v>
      </c>
      <c r="Z3" s="204" t="s">
        <v>3217</v>
      </c>
      <c r="AA3" s="204" t="s">
        <v>3218</v>
      </c>
      <c r="AB3" s="204" t="s">
        <v>3219</v>
      </c>
      <c r="AC3" s="204" t="s">
        <v>3220</v>
      </c>
      <c r="AD3" s="250" t="s">
        <v>3221</v>
      </c>
      <c r="AE3" s="250" t="s">
        <v>3222</v>
      </c>
      <c r="AF3" s="250" t="s">
        <v>3223</v>
      </c>
      <c r="AG3" s="250" t="s">
        <v>3224</v>
      </c>
      <c r="AH3" s="250" t="s">
        <v>3225</v>
      </c>
      <c r="AI3" s="250" t="s">
        <v>3226</v>
      </c>
      <c r="AJ3" s="250" t="s">
        <v>3227</v>
      </c>
      <c r="AK3" s="250" t="s">
        <v>3228</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5.75"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5.75"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5.75"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2018-12-10T14:06:44Z</cp:lastPrinted>
  <dcterms:created xsi:type="dcterms:W3CDTF">2011-06-01T13:01:36Z</dcterms:created>
  <dcterms:modified xsi:type="dcterms:W3CDTF">2021-04-13T05:38:28Z</dcterms:modified>
</cp:coreProperties>
</file>