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ccampbel\Desktop\Income and Rent Tools\"/>
    </mc:Choice>
  </mc:AlternateContent>
  <workbookProtection workbookAlgorithmName="SHA-512" workbookHashValue="2NBZBa+qKk2cL0wDcRgj3BEEspxbm9HIRccnSgKziawfgif7JhUHxFdxqr8Cf1M4Il+pSBTFrDsT9n3NPHOK1Q==" workbookSaltValue="WYssdvxv4co3Xg/4dlXh6w==" workbookSpinCount="100000"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62913"/>
</workbook>
</file>

<file path=xl/calcChain.xml><?xml version="1.0" encoding="utf-8"?>
<calcChain xmlns="http://schemas.openxmlformats.org/spreadsheetml/2006/main">
  <c r="AF156" i="1" l="1"/>
  <c r="N156" i="1"/>
  <c r="AA156" i="1" s="1"/>
  <c r="A156" i="1"/>
  <c r="A155" i="1"/>
  <c r="AE156" i="1" l="1"/>
  <c r="AB156" i="1"/>
  <c r="AC156" i="1"/>
  <c r="W156" i="1"/>
  <c r="S156" i="1"/>
  <c r="V156" i="1"/>
  <c r="R156" i="1"/>
  <c r="Q156" i="1"/>
  <c r="T156" i="1"/>
  <c r="U156" i="1"/>
  <c r="P156" i="1"/>
  <c r="AD156" i="1"/>
  <c r="Z156" i="1"/>
  <c r="Y156" i="1"/>
  <c r="N132" i="1"/>
  <c r="Z132" i="1" s="1"/>
  <c r="A132" i="1"/>
  <c r="A131" i="1"/>
  <c r="A180" i="1"/>
  <c r="A179" i="1"/>
  <c r="A108" i="1"/>
  <c r="A107" i="1"/>
  <c r="N84" i="1"/>
  <c r="A84" i="1"/>
  <c r="A83" i="1"/>
  <c r="AE132" i="1" l="1"/>
  <c r="AE84" i="1" s="1"/>
  <c r="Z108" i="1"/>
  <c r="Z180" i="1"/>
  <c r="V132" i="1"/>
  <c r="V84" i="1" s="1"/>
  <c r="S132" i="1"/>
  <c r="S180" i="1" s="1"/>
  <c r="AC132" i="1"/>
  <c r="AC180" i="1" s="1"/>
  <c r="P132" i="1"/>
  <c r="P180" i="1" s="1"/>
  <c r="R132" i="1"/>
  <c r="R180" i="1" s="1"/>
  <c r="AB132" i="1"/>
  <c r="AB180" i="1" s="1"/>
  <c r="Z84" i="1"/>
  <c r="W132" i="1"/>
  <c r="W180" i="1" s="1"/>
  <c r="Y132" i="1"/>
  <c r="Y180" i="1" s="1"/>
  <c r="T132" i="1"/>
  <c r="T180" i="1" s="1"/>
  <c r="AF132" i="1"/>
  <c r="AF180" i="1" s="1"/>
  <c r="AA132" i="1"/>
  <c r="AA180" i="1" s="1"/>
  <c r="U132" i="1"/>
  <c r="U180" i="1" s="1"/>
  <c r="Q132" i="1"/>
  <c r="Q180" i="1" s="1"/>
  <c r="AD132" i="1"/>
  <c r="AD180" i="1" s="1"/>
  <c r="N204" i="1"/>
  <c r="S204" i="1" s="1"/>
  <c r="AH132" i="1" l="1"/>
  <c r="AO132" i="1" s="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J132" i="1" l="1"/>
  <c r="AJ108" i="1" s="1"/>
  <c r="F108" i="1" s="1"/>
  <c r="AI132" i="1"/>
  <c r="AI156" i="1" s="1"/>
  <c r="AL132" i="1"/>
  <c r="AL180" i="1" s="1"/>
  <c r="H180" i="1" s="1"/>
  <c r="AN132" i="1"/>
  <c r="AN180" i="1" s="1"/>
  <c r="J180" i="1" s="1"/>
  <c r="AM132" i="1"/>
  <c r="I132" i="1" s="1"/>
  <c r="AP132" i="1"/>
  <c r="AP108" i="1" s="1"/>
  <c r="L108" i="1" s="1"/>
  <c r="AK132" i="1"/>
  <c r="AK156" i="1" s="1"/>
  <c r="AN156" i="1"/>
  <c r="AP156" i="1"/>
  <c r="AO180" i="1"/>
  <c r="K180" i="1" s="1"/>
  <c r="AO156" i="1"/>
  <c r="AJ180" i="1"/>
  <c r="F180" i="1" s="1"/>
  <c r="E132" i="1"/>
  <c r="AI180" i="1"/>
  <c r="E180" i="1" s="1"/>
  <c r="AI108" i="1"/>
  <c r="E108" i="1" s="1"/>
  <c r="AO108" i="1"/>
  <c r="K108" i="1" s="1"/>
  <c r="K132" i="1"/>
  <c r="AO84" i="1"/>
  <c r="K84" i="1" s="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s="1"/>
  <c r="G254" i="1" s="1"/>
  <c r="AP84" i="1" l="1"/>
  <c r="L84" i="1" s="1"/>
  <c r="AI84" i="1"/>
  <c r="E84" i="1" s="1"/>
  <c r="AP180" i="1"/>
  <c r="L180" i="1" s="1"/>
  <c r="AN84" i="1"/>
  <c r="J84" i="1" s="1"/>
  <c r="L132" i="1"/>
  <c r="AK108" i="1"/>
  <c r="G108" i="1" s="1"/>
  <c r="G132" i="1"/>
  <c r="AK84" i="1"/>
  <c r="G84" i="1" s="1"/>
  <c r="H132" i="1"/>
  <c r="AK180" i="1"/>
  <c r="G180" i="1" s="1"/>
  <c r="AJ84" i="1"/>
  <c r="F84" i="1" s="1"/>
  <c r="AJ156" i="1"/>
  <c r="F156" i="1" s="1"/>
  <c r="AM156" i="1"/>
  <c r="I156" i="1" s="1"/>
  <c r="AM108" i="1"/>
  <c r="I108" i="1" s="1"/>
  <c r="AM84" i="1"/>
  <c r="I84" i="1" s="1"/>
  <c r="F132" i="1"/>
  <c r="AM180" i="1"/>
  <c r="I180" i="1" s="1"/>
  <c r="AN108" i="1"/>
  <c r="J108" i="1" s="1"/>
  <c r="J132" i="1"/>
  <c r="AL108" i="1"/>
  <c r="H108" i="1" s="1"/>
  <c r="AL156" i="1"/>
  <c r="H156" i="1" s="1"/>
  <c r="AL84" i="1"/>
  <c r="H84" i="1" s="1"/>
  <c r="L156" i="1"/>
  <c r="K156" i="1"/>
  <c r="G156" i="1"/>
  <c r="J156" i="1"/>
  <c r="E156" i="1"/>
  <c r="J255" i="1"/>
  <c r="J250" i="1"/>
  <c r="J249" i="1" s="1"/>
  <c r="I250" i="1"/>
  <c r="I249" i="1" s="1"/>
  <c r="F250" i="1"/>
  <c r="F249" i="1" s="1"/>
  <c r="F255" i="1"/>
  <c r="I255" i="1"/>
  <c r="E250" i="1"/>
  <c r="E249" i="1" s="1"/>
  <c r="E255" i="1"/>
  <c r="H250" i="1"/>
  <c r="H249" i="1" s="1"/>
  <c r="L250" i="1"/>
  <c r="L249" i="1" s="1"/>
  <c r="H255" i="1"/>
  <c r="G250" i="1"/>
  <c r="G249" i="1" s="1"/>
  <c r="K250" i="1"/>
  <c r="K249"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B152" i="1" l="1"/>
  <c r="F254" i="1"/>
  <c r="J254" i="1"/>
  <c r="I254" i="1"/>
  <c r="H254" i="1"/>
  <c r="E254" i="1"/>
  <c r="T154" i="1"/>
  <c r="Q154" i="1"/>
  <c r="V130" i="1"/>
  <c r="V178" i="1" s="1"/>
  <c r="AC130" i="1"/>
  <c r="AC106" i="1" s="1"/>
  <c r="Z130" i="1"/>
  <c r="P130" i="1"/>
  <c r="S130" i="1"/>
  <c r="W130" i="1"/>
  <c r="W178" i="1" s="1"/>
  <c r="U130" i="1"/>
  <c r="U178" i="1" s="1"/>
  <c r="S154" i="1"/>
  <c r="Y130" i="1"/>
  <c r="Y106" i="1" s="1"/>
  <c r="AB154" i="1"/>
  <c r="S202" i="1"/>
  <c r="S203" i="1" s="1"/>
  <c r="AA154" i="1"/>
  <c r="P154" i="1"/>
  <c r="AD130" i="1"/>
  <c r="AE130" i="1"/>
  <c r="Z154" i="1"/>
  <c r="AA130" i="1"/>
  <c r="AD154" i="1"/>
  <c r="R154" i="1"/>
  <c r="AE154" i="1"/>
  <c r="Q130" i="1"/>
  <c r="Q106" i="1" s="1"/>
  <c r="AF154" i="1"/>
  <c r="V154" i="1"/>
  <c r="R130" i="1"/>
  <c r="R106" i="1" s="1"/>
  <c r="Y154" i="1"/>
  <c r="U154" i="1"/>
  <c r="AB130" i="1"/>
  <c r="AB178" i="1" s="1"/>
  <c r="T130" i="1"/>
  <c r="T178" i="1" s="1"/>
  <c r="W154" i="1"/>
  <c r="AC154" i="1"/>
  <c r="AF130" i="1"/>
  <c r="AF82" i="1" s="1"/>
  <c r="U128" i="1"/>
  <c r="U80" i="1" s="1"/>
  <c r="S200" i="1"/>
  <c r="A184" i="27"/>
  <c r="AA152" i="1"/>
  <c r="A71" i="27"/>
  <c r="A39" i="27"/>
  <c r="AF128" i="1"/>
  <c r="AF176" i="1" s="1"/>
  <c r="AB128" i="1"/>
  <c r="AB176" i="1" s="1"/>
  <c r="AE152" i="1"/>
  <c r="U152" i="1"/>
  <c r="AF152" i="1"/>
  <c r="AE128" i="1"/>
  <c r="AE176" i="1" s="1"/>
  <c r="Y128" i="1"/>
  <c r="Y176" i="1" s="1"/>
  <c r="AC128" i="1"/>
  <c r="AC80" i="1" s="1"/>
  <c r="Y152" i="1"/>
  <c r="AC152" i="1"/>
  <c r="AA128" i="1"/>
  <c r="AA176" i="1" s="1"/>
  <c r="Z128" i="1"/>
  <c r="Z104" i="1" s="1"/>
  <c r="AD128" i="1"/>
  <c r="AD176" i="1" s="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s="1"/>
  <c r="BG218" i="1"/>
  <c r="BG217" i="1"/>
  <c r="BG216" i="1"/>
  <c r="N234" i="1"/>
  <c r="L234" i="1" s="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s="1"/>
  <c r="BG190" i="1"/>
  <c r="N210" i="1"/>
  <c r="I211" i="1" s="1"/>
  <c r="BG189" i="1"/>
  <c r="N209" i="1"/>
  <c r="H210" i="1" s="1"/>
  <c r="BG188" i="1"/>
  <c r="N208" i="1"/>
  <c r="K208" i="1" s="1"/>
  <c r="BG187" i="1"/>
  <c r="BG184" i="1"/>
  <c r="BG183" i="1"/>
  <c r="BG182" i="1"/>
  <c r="N198" i="1"/>
  <c r="S198" i="1" s="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l="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s="1"/>
  <c r="E130" i="1" s="1"/>
  <c r="E131" i="1" s="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s="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s="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s="1"/>
  <c r="J212" i="1"/>
  <c r="I234" i="1"/>
  <c r="I236" i="1" s="1"/>
  <c r="A139" i="8"/>
  <c r="A9" i="9"/>
  <c r="A30" i="9"/>
  <c r="A52" i="9"/>
  <c r="A73" i="9"/>
  <c r="A94" i="9"/>
  <c r="A20" i="9"/>
  <c r="A41" i="9"/>
  <c r="A84" i="9"/>
  <c r="I208" i="1"/>
  <c r="F234" i="1"/>
  <c r="F23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s="1"/>
  <c r="I212" i="1"/>
  <c r="E234" i="1"/>
  <c r="E236" i="1" s="1"/>
  <c r="K234" i="1"/>
  <c r="K235" i="1" s="1"/>
  <c r="A43" i="8"/>
  <c r="A107" i="8"/>
  <c r="A172" i="8"/>
  <c r="A236" i="8"/>
  <c r="A6" i="9"/>
  <c r="A12" i="9"/>
  <c r="A17" i="9"/>
  <c r="A22" i="9"/>
  <c r="A28" i="9"/>
  <c r="A33" i="9"/>
  <c r="A38" i="9"/>
  <c r="A44" i="9"/>
  <c r="A49" i="9"/>
  <c r="A54" i="9"/>
  <c r="A60" i="9"/>
  <c r="A65" i="9"/>
  <c r="A70" i="9"/>
  <c r="A76" i="9"/>
  <c r="A81" i="9"/>
  <c r="A86" i="9"/>
  <c r="A92" i="9"/>
  <c r="A97" i="9"/>
  <c r="G208" i="1"/>
  <c r="J234" i="1"/>
  <c r="J235" i="1" s="1"/>
  <c r="A27" i="8"/>
  <c r="A91" i="8"/>
  <c r="A156" i="8"/>
  <c r="A220" i="8"/>
  <c r="A5" i="9"/>
  <c r="A10" i="9"/>
  <c r="A16" i="9"/>
  <c r="A21" i="9"/>
  <c r="A26" i="9"/>
  <c r="A32" i="9"/>
  <c r="A37" i="9"/>
  <c r="A42" i="9"/>
  <c r="A48" i="9"/>
  <c r="A53" i="9"/>
  <c r="A58" i="9"/>
  <c r="A64" i="9"/>
  <c r="A69" i="9"/>
  <c r="A74" i="9"/>
  <c r="A80" i="9"/>
  <c r="A85" i="9"/>
  <c r="A90" i="9"/>
  <c r="A96" i="9"/>
  <c r="H234" i="1"/>
  <c r="H23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s="1"/>
  <c r="G211" i="1"/>
  <c r="K211" i="1"/>
  <c r="G237" i="1"/>
  <c r="K210" i="1"/>
  <c r="J210" i="1" s="1"/>
  <c r="J211" i="1"/>
  <c r="F237" i="1"/>
  <c r="K237" i="1"/>
  <c r="H211" i="1"/>
  <c r="L237" i="1"/>
  <c r="F210" i="1"/>
  <c r="F211" i="1"/>
  <c r="E211" i="1" s="1"/>
  <c r="S196" i="1"/>
  <c r="S197" i="1" s="1"/>
  <c r="E210" i="1"/>
  <c r="I210" i="1"/>
  <c r="H212" i="1"/>
  <c r="G212" i="1" s="1"/>
  <c r="G234" i="1"/>
  <c r="E237" i="1"/>
  <c r="A167" i="1"/>
  <c r="BG152" i="1"/>
  <c r="A166" i="1"/>
  <c r="BG151" i="1"/>
  <c r="A165" i="1"/>
  <c r="BG150" i="1"/>
  <c r="A164" i="1"/>
  <c r="BG149" i="1"/>
  <c r="A163" i="1"/>
  <c r="BG148" i="1"/>
  <c r="N162" i="1"/>
  <c r="A162" i="1"/>
  <c r="BG147" i="1"/>
  <c r="A161" i="1"/>
  <c r="BG146" i="1"/>
  <c r="N160" i="1"/>
  <c r="A160" i="1"/>
  <c r="BG145" i="1"/>
  <c r="N159" i="1"/>
  <c r="U159" i="1" s="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s="1"/>
  <c r="J237" i="1" l="1"/>
  <c r="AJ130" i="1"/>
  <c r="AJ106" i="1" s="1"/>
  <c r="F106" i="1" s="1"/>
  <c r="F107" i="1" s="1"/>
  <c r="AP130" i="1"/>
  <c r="AP82" i="1" s="1"/>
  <c r="L82" i="1" s="1"/>
  <c r="L83" i="1" s="1"/>
  <c r="AL130" i="1"/>
  <c r="AL106" i="1" s="1"/>
  <c r="H106" i="1" s="1"/>
  <c r="H107" i="1" s="1"/>
  <c r="AO130" i="1"/>
  <c r="AO154" i="1" s="1"/>
  <c r="K154" i="1" s="1"/>
  <c r="K155" i="1" s="1"/>
  <c r="AN130" i="1"/>
  <c r="J130" i="1" s="1"/>
  <c r="J131" i="1" s="1"/>
  <c r="AK130" i="1"/>
  <c r="G130" i="1" s="1"/>
  <c r="G131" i="1" s="1"/>
  <c r="AM130" i="1"/>
  <c r="AM106" i="1" s="1"/>
  <c r="I106" i="1" s="1"/>
  <c r="I107" i="1" s="1"/>
  <c r="AI82" i="1"/>
  <c r="E82" i="1" s="1"/>
  <c r="E83" i="1" s="1"/>
  <c r="AI178" i="1"/>
  <c r="E178" i="1" s="1"/>
  <c r="E179" i="1" s="1"/>
  <c r="AI154" i="1"/>
  <c r="E154" i="1" s="1"/>
  <c r="E155" i="1" s="1"/>
  <c r="AI106" i="1"/>
  <c r="E106" i="1" s="1"/>
  <c r="E107" i="1" s="1"/>
  <c r="AL128" i="1"/>
  <c r="AL104" i="1" s="1"/>
  <c r="H104" i="1" s="1"/>
  <c r="AJ128" i="1"/>
  <c r="F128" i="1" s="1"/>
  <c r="AM128" i="1"/>
  <c r="I128" i="1" s="1"/>
  <c r="AN128" i="1"/>
  <c r="AN176" i="1" s="1"/>
  <c r="J176" i="1" s="1"/>
  <c r="AP128" i="1"/>
  <c r="AP80" i="1" s="1"/>
  <c r="L80" i="1" s="1"/>
  <c r="AI128" i="1"/>
  <c r="AI80" i="1" s="1"/>
  <c r="E80" i="1" s="1"/>
  <c r="AO128" i="1"/>
  <c r="K128" i="1" s="1"/>
  <c r="S193" i="1"/>
  <c r="S189" i="1"/>
  <c r="R148" i="1"/>
  <c r="Q148" i="1" s="1"/>
  <c r="S191" i="1"/>
  <c r="AB148" i="1"/>
  <c r="W148" i="1"/>
  <c r="H217" i="1"/>
  <c r="H224" i="1"/>
  <c r="I232" i="1"/>
  <c r="I233" i="1"/>
  <c r="K233" i="1"/>
  <c r="AK176" i="1"/>
  <c r="G176" i="1" s="1"/>
  <c r="G128" i="1"/>
  <c r="AK80" i="1"/>
  <c r="G80" i="1" s="1"/>
  <c r="AK152" i="1"/>
  <c r="G152" i="1" s="1"/>
  <c r="AK104" i="1"/>
  <c r="G104" i="1" s="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s="1"/>
  <c r="J209" i="1"/>
  <c r="G236" i="1"/>
  <c r="F236" i="1" s="1"/>
  <c r="G235" i="1"/>
  <c r="G232" i="1"/>
  <c r="S160" i="1"/>
  <c r="W160" i="1"/>
  <c r="R160" i="1"/>
  <c r="V160" i="1"/>
  <c r="T159" i="1"/>
  <c r="Q160" i="1"/>
  <c r="U160" i="1"/>
  <c r="S159" i="1"/>
  <c r="R159" i="1" s="1"/>
  <c r="W159" i="1"/>
  <c r="L159" i="1" s="1"/>
  <c r="P160" i="1"/>
  <c r="S162" i="1"/>
  <c r="G233" i="1"/>
  <c r="A148" i="1"/>
  <c r="BG135" i="1"/>
  <c r="A147" i="1"/>
  <c r="BG134" i="1"/>
  <c r="N146" i="1"/>
  <c r="W146" i="1" s="1"/>
  <c r="A146" i="1"/>
  <c r="BG133" i="1"/>
  <c r="L81" i="1" l="1"/>
  <c r="AJ178" i="1"/>
  <c r="F178" i="1" s="1"/>
  <c r="F179" i="1" s="1"/>
  <c r="AP106" i="1"/>
  <c r="L106" i="1" s="1"/>
  <c r="L107" i="1" s="1"/>
  <c r="AM154" i="1"/>
  <c r="I154" i="1" s="1"/>
  <c r="I155" i="1" s="1"/>
  <c r="AP154" i="1"/>
  <c r="L154" i="1" s="1"/>
  <c r="L155" i="1" s="1"/>
  <c r="L130" i="1"/>
  <c r="L131" i="1" s="1"/>
  <c r="AP178" i="1"/>
  <c r="L178" i="1" s="1"/>
  <c r="L179" i="1" s="1"/>
  <c r="AN106" i="1"/>
  <c r="J106" i="1" s="1"/>
  <c r="J107" i="1" s="1"/>
  <c r="AN82" i="1"/>
  <c r="J82" i="1" s="1"/>
  <c r="J83" i="1" s="1"/>
  <c r="AJ154" i="1"/>
  <c r="F154" i="1" s="1"/>
  <c r="F155" i="1" s="1"/>
  <c r="AJ82" i="1"/>
  <c r="F82" i="1" s="1"/>
  <c r="F83" i="1" s="1"/>
  <c r="F130" i="1"/>
  <c r="AL82" i="1"/>
  <c r="H82" i="1" s="1"/>
  <c r="H83" i="1" s="1"/>
  <c r="AN178" i="1"/>
  <c r="J178" i="1" s="1"/>
  <c r="AL178" i="1"/>
  <c r="H178" i="1" s="1"/>
  <c r="H179" i="1" s="1"/>
  <c r="H130" i="1"/>
  <c r="H131" i="1" s="1"/>
  <c r="J129" i="1"/>
  <c r="AL154" i="1"/>
  <c r="H154" i="1" s="1"/>
  <c r="H155" i="1" s="1"/>
  <c r="AM178" i="1"/>
  <c r="I178" i="1" s="1"/>
  <c r="I179" i="1" s="1"/>
  <c r="AM82" i="1"/>
  <c r="I82" i="1" s="1"/>
  <c r="I83" i="1" s="1"/>
  <c r="AK82" i="1"/>
  <c r="G82" i="1" s="1"/>
  <c r="AO178" i="1"/>
  <c r="K178" i="1" s="1"/>
  <c r="K179" i="1" s="1"/>
  <c r="I130" i="1"/>
  <c r="G129" i="1"/>
  <c r="K130" i="1"/>
  <c r="AK178" i="1"/>
  <c r="G178" i="1" s="1"/>
  <c r="AN154" i="1"/>
  <c r="J154" i="1" s="1"/>
  <c r="J155" i="1" s="1"/>
  <c r="AO106" i="1"/>
  <c r="K106" i="1" s="1"/>
  <c r="K107" i="1" s="1"/>
  <c r="AK154" i="1"/>
  <c r="G154" i="1" s="1"/>
  <c r="AO82" i="1"/>
  <c r="K82" i="1" s="1"/>
  <c r="K83" i="1" s="1"/>
  <c r="AK106" i="1"/>
  <c r="G106" i="1" s="1"/>
  <c r="AO176" i="1"/>
  <c r="K176" i="1" s="1"/>
  <c r="AN104" i="1"/>
  <c r="J104" i="1" s="1"/>
  <c r="H105" i="1"/>
  <c r="E81" i="1"/>
  <c r="AO80" i="1"/>
  <c r="K80" i="1" s="1"/>
  <c r="E128" i="1"/>
  <c r="E129" i="1" s="1"/>
  <c r="AM80" i="1"/>
  <c r="I80" i="1" s="1"/>
  <c r="AN80" i="1"/>
  <c r="J80" i="1" s="1"/>
  <c r="AM104" i="1"/>
  <c r="I104" i="1" s="1"/>
  <c r="I105" i="1" s="1"/>
  <c r="AN152" i="1"/>
  <c r="J152" i="1" s="1"/>
  <c r="AJ176" i="1"/>
  <c r="F176" i="1" s="1"/>
  <c r="AL176" i="1"/>
  <c r="H176" i="1" s="1"/>
  <c r="H128" i="1"/>
  <c r="AP104" i="1"/>
  <c r="L104" i="1" s="1"/>
  <c r="AP152" i="1"/>
  <c r="L152" i="1" s="1"/>
  <c r="AO152" i="1"/>
  <c r="K152" i="1" s="1"/>
  <c r="K153" i="1" s="1"/>
  <c r="AJ80" i="1"/>
  <c r="F80" i="1" s="1"/>
  <c r="AM176" i="1"/>
  <c r="I176" i="1" s="1"/>
  <c r="AJ104" i="1"/>
  <c r="F104" i="1" s="1"/>
  <c r="F105" i="1" s="1"/>
  <c r="AI104" i="1"/>
  <c r="E104" i="1" s="1"/>
  <c r="E105" i="1" s="1"/>
  <c r="AO104" i="1"/>
  <c r="K104" i="1" s="1"/>
  <c r="AM152" i="1"/>
  <c r="I152" i="1" s="1"/>
  <c r="AI176" i="1"/>
  <c r="E176" i="1" s="1"/>
  <c r="E177" i="1" s="1"/>
  <c r="AL152" i="1"/>
  <c r="H152" i="1" s="1"/>
  <c r="AP176" i="1"/>
  <c r="L176" i="1" s="1"/>
  <c r="AL80" i="1"/>
  <c r="H80" i="1" s="1"/>
  <c r="AJ152" i="1"/>
  <c r="F152" i="1" s="1"/>
  <c r="L128" i="1"/>
  <c r="AI152" i="1"/>
  <c r="E152" i="1" s="1"/>
  <c r="E153" i="1" s="1"/>
  <c r="K159" i="1"/>
  <c r="J159" i="1" s="1"/>
  <c r="I159" i="1" s="1"/>
  <c r="H159" i="1" s="1"/>
  <c r="F224" i="1"/>
  <c r="F217" i="1"/>
  <c r="E217" i="1" s="1"/>
  <c r="V146" i="1"/>
  <c r="AB146" i="1"/>
  <c r="AF146" i="1"/>
  <c r="U146" i="1"/>
  <c r="AA146" i="1"/>
  <c r="AE146" i="1"/>
  <c r="R146" i="1"/>
  <c r="Z146" i="1"/>
  <c r="AD146" i="1"/>
  <c r="Q146" i="1"/>
  <c r="Y146" i="1"/>
  <c r="AC146" i="1"/>
  <c r="J218" i="1"/>
  <c r="G159" i="1"/>
  <c r="F159" i="1" s="1"/>
  <c r="E159" i="1" s="1"/>
  <c r="P146" i="1"/>
  <c r="T146" i="1"/>
  <c r="I209" i="1"/>
  <c r="I225" i="1"/>
  <c r="I218" i="1"/>
  <c r="S146" i="1"/>
  <c r="A145" i="1"/>
  <c r="BG132" i="1"/>
  <c r="N144" i="1"/>
  <c r="T144" i="1" s="1"/>
  <c r="A144" i="1"/>
  <c r="BG131" i="1"/>
  <c r="A143" i="1"/>
  <c r="BG130" i="1"/>
  <c r="G153" i="1" l="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s="1"/>
  <c r="AD144" i="1"/>
  <c r="AC144" i="1"/>
  <c r="AB144" i="1"/>
  <c r="AF144" i="1"/>
  <c r="AA144" i="1"/>
  <c r="AE144" i="1"/>
  <c r="H209" i="1"/>
  <c r="G209" i="1" s="1"/>
  <c r="S144" i="1"/>
  <c r="W144" i="1"/>
  <c r="R144" i="1"/>
  <c r="V144" i="1"/>
  <c r="Q144" i="1"/>
  <c r="U144" i="1"/>
  <c r="P144" i="1"/>
  <c r="N142" i="1"/>
  <c r="U142" i="1" s="1"/>
  <c r="A142" i="1"/>
  <c r="BG129" i="1"/>
  <c r="A141" i="1"/>
  <c r="BG128" i="1"/>
  <c r="N140" i="1"/>
  <c r="W140" i="1" s="1"/>
  <c r="A140" i="1"/>
  <c r="BG127" i="1"/>
  <c r="A139" i="1"/>
  <c r="BG126" i="1"/>
  <c r="N138" i="1"/>
  <c r="W138" i="1" s="1"/>
  <c r="A138" i="1"/>
  <c r="BG125" i="1"/>
  <c r="A137" i="1"/>
  <c r="N136" i="1"/>
  <c r="W136" i="1" s="1"/>
  <c r="A136" i="1"/>
  <c r="N135" i="1"/>
  <c r="V135" i="1" s="1"/>
  <c r="B135" i="1"/>
  <c r="A135" i="1"/>
  <c r="BG122" i="1"/>
  <c r="BG121" i="1"/>
  <c r="BG118" i="1"/>
  <c r="BG117" i="1"/>
  <c r="BG116" i="1"/>
  <c r="AF126" i="1"/>
  <c r="AF174" i="1" s="1"/>
  <c r="AE126" i="1"/>
  <c r="AE174" i="1" s="1"/>
  <c r="AD126" i="1"/>
  <c r="AD174" i="1" s="1"/>
  <c r="AC126" i="1"/>
  <c r="AC174" i="1" s="1"/>
  <c r="AB126" i="1"/>
  <c r="AB174" i="1" s="1"/>
  <c r="AA126" i="1"/>
  <c r="AA174" i="1" s="1"/>
  <c r="Z126" i="1"/>
  <c r="Z174" i="1" s="1"/>
  <c r="Y126" i="1"/>
  <c r="Y174" i="1" s="1"/>
  <c r="W126" i="1"/>
  <c r="V126" i="1"/>
  <c r="V174" i="1" s="1"/>
  <c r="U126" i="1"/>
  <c r="U174" i="1" s="1"/>
  <c r="T126" i="1"/>
  <c r="T174" i="1" s="1"/>
  <c r="S126" i="1"/>
  <c r="R126" i="1"/>
  <c r="R174" i="1" s="1"/>
  <c r="Q126" i="1"/>
  <c r="Q174" i="1" s="1"/>
  <c r="P126" i="1"/>
  <c r="P174" i="1" s="1"/>
  <c r="A126" i="1"/>
  <c r="BG115" i="1"/>
  <c r="A125" i="1"/>
  <c r="BG114" i="1"/>
  <c r="N124" i="1"/>
  <c r="T124" i="1" s="1"/>
  <c r="T172" i="1" s="1"/>
  <c r="A124" i="1"/>
  <c r="BG113" i="1"/>
  <c r="A123" i="1"/>
  <c r="BG112" i="1"/>
  <c r="AH122" i="1"/>
  <c r="AK122" i="1" s="1"/>
  <c r="N122" i="1"/>
  <c r="U122" i="1" s="1"/>
  <c r="U170" i="1" s="1"/>
  <c r="A122" i="1"/>
  <c r="BG111" i="1"/>
  <c r="A121" i="1"/>
  <c r="BG110" i="1"/>
  <c r="AH120" i="1"/>
  <c r="AN120" i="1" s="1"/>
  <c r="N120" i="1"/>
  <c r="U120" i="1" s="1"/>
  <c r="U168" i="1" s="1"/>
  <c r="A120" i="1"/>
  <c r="BG109" i="1"/>
  <c r="A119" i="1"/>
  <c r="BG108" i="1"/>
  <c r="AA140" i="1" l="1"/>
  <c r="AE124" i="1"/>
  <c r="AE172" i="1" s="1"/>
  <c r="Y124" i="1"/>
  <c r="Y172" i="1" s="1"/>
  <c r="AE142" i="1"/>
  <c r="P140" i="1"/>
  <c r="P142" i="1"/>
  <c r="R138" i="1"/>
  <c r="Q138" i="1"/>
  <c r="U140" i="1"/>
  <c r="T142" i="1"/>
  <c r="AB122" i="1"/>
  <c r="AB170" i="1" s="1"/>
  <c r="AA120" i="1"/>
  <c r="AA168" i="1" s="1"/>
  <c r="AB124" i="1"/>
  <c r="AB172" i="1" s="1"/>
  <c r="R136" i="1"/>
  <c r="P120" i="1"/>
  <c r="P168" i="1" s="1"/>
  <c r="AE120" i="1"/>
  <c r="AE168" i="1" s="1"/>
  <c r="P122" i="1"/>
  <c r="P170" i="1" s="1"/>
  <c r="AF122" i="1"/>
  <c r="AF170" i="1" s="1"/>
  <c r="AA124" i="1"/>
  <c r="Z124" i="1" s="1"/>
  <c r="Z172" i="1" s="1"/>
  <c r="AF124" i="1"/>
  <c r="AF172" i="1" s="1"/>
  <c r="Q136" i="1"/>
  <c r="AE140" i="1"/>
  <c r="AA142" i="1"/>
  <c r="AB120" i="1"/>
  <c r="AB168" i="1" s="1"/>
  <c r="AA122" i="1"/>
  <c r="AA170" i="1" s="1"/>
  <c r="AD124" i="1"/>
  <c r="T120" i="1"/>
  <c r="T168" i="1" s="1"/>
  <c r="AF120" i="1"/>
  <c r="T122" i="1"/>
  <c r="T170" i="1" s="1"/>
  <c r="AB142" i="1"/>
  <c r="Z140" i="1"/>
  <c r="V136" i="1"/>
  <c r="V138" i="1"/>
  <c r="R140" i="1"/>
  <c r="Y140" i="1"/>
  <c r="AC140" i="1"/>
  <c r="Z142" i="1"/>
  <c r="AD142" i="1"/>
  <c r="T140" i="1"/>
  <c r="AD140" i="1"/>
  <c r="Z120" i="1"/>
  <c r="Z168" i="1" s="1"/>
  <c r="AD120" i="1"/>
  <c r="AD168" i="1" s="1"/>
  <c r="Z122" i="1"/>
  <c r="Z170" i="1" s="1"/>
  <c r="AE122" i="1"/>
  <c r="AE170" i="1" s="1"/>
  <c r="Y120" i="1"/>
  <c r="Y168" i="1" s="1"/>
  <c r="AC120" i="1"/>
  <c r="AC168" i="1" s="1"/>
  <c r="Y122" i="1"/>
  <c r="Y170" i="1" s="1"/>
  <c r="AD122" i="1"/>
  <c r="AD170" i="1" s="1"/>
  <c r="AC124" i="1"/>
  <c r="U136" i="1"/>
  <c r="U138" i="1"/>
  <c r="Q140" i="1"/>
  <c r="V140" i="1"/>
  <c r="AB140" i="1"/>
  <c r="AF140" i="1"/>
  <c r="Y142" i="1"/>
  <c r="AC142" i="1"/>
  <c r="S174" i="1"/>
  <c r="W174" i="1"/>
  <c r="R124" i="1"/>
  <c r="R172" i="1" s="1"/>
  <c r="V124" i="1"/>
  <c r="V172" i="1" s="1"/>
  <c r="R135" i="1"/>
  <c r="W135" i="1"/>
  <c r="L135" i="1" s="1"/>
  <c r="K135" i="1" s="1"/>
  <c r="S142" i="1"/>
  <c r="W142" i="1"/>
  <c r="H225" i="1"/>
  <c r="R120" i="1"/>
  <c r="R168" i="1" s="1"/>
  <c r="V120" i="1"/>
  <c r="V168" i="1" s="1"/>
  <c r="AM120" i="1"/>
  <c r="AM168" i="1" s="1"/>
  <c r="R122" i="1"/>
  <c r="V122" i="1"/>
  <c r="V170" i="1" s="1"/>
  <c r="Q124" i="1"/>
  <c r="Q172" i="1" s="1"/>
  <c r="U124" i="1"/>
  <c r="U172" i="1" s="1"/>
  <c r="AD172" i="1"/>
  <c r="Q135" i="1"/>
  <c r="P136" i="1"/>
  <c r="T136" i="1"/>
  <c r="P138" i="1"/>
  <c r="T138" i="1"/>
  <c r="S140" i="1"/>
  <c r="R142" i="1"/>
  <c r="V142" i="1"/>
  <c r="H218" i="1"/>
  <c r="F209" i="1"/>
  <c r="E209" i="1" s="1"/>
  <c r="G225" i="1"/>
  <c r="G218" i="1"/>
  <c r="S124" i="1"/>
  <c r="S172" i="1" s="1"/>
  <c r="W124" i="1"/>
  <c r="W172" i="1" s="1"/>
  <c r="T135" i="1"/>
  <c r="S135" i="1" s="1"/>
  <c r="S120" i="1"/>
  <c r="S168" i="1" s="1"/>
  <c r="W120" i="1"/>
  <c r="W168" i="1" s="1"/>
  <c r="S122" i="1"/>
  <c r="S170" i="1" s="1"/>
  <c r="W122" i="1"/>
  <c r="W170" i="1" s="1"/>
  <c r="Q120" i="1"/>
  <c r="Q168" i="1" s="1"/>
  <c r="AI120" i="1"/>
  <c r="Q122" i="1"/>
  <c r="Q170" i="1" s="1"/>
  <c r="P124" i="1"/>
  <c r="P172" i="1" s="1"/>
  <c r="P135" i="1"/>
  <c r="U135" i="1"/>
  <c r="S136" i="1"/>
  <c r="S138" i="1"/>
  <c r="Q142" i="1"/>
  <c r="AC122" i="1"/>
  <c r="AC170" i="1" s="1"/>
  <c r="AN168" i="1"/>
  <c r="AN144" i="1"/>
  <c r="AK170" i="1"/>
  <c r="AK146" i="1"/>
  <c r="AL122" i="1"/>
  <c r="AP122" i="1"/>
  <c r="AL120" i="1"/>
  <c r="AP120" i="1"/>
  <c r="AO122" i="1"/>
  <c r="AK120" i="1"/>
  <c r="AO120" i="1"/>
  <c r="AJ122" i="1"/>
  <c r="AN122" i="1"/>
  <c r="AJ120" i="1"/>
  <c r="AI122" i="1"/>
  <c r="AM122" i="1"/>
  <c r="N118" i="1"/>
  <c r="U118" i="1" s="1"/>
  <c r="U166" i="1" s="1"/>
  <c r="A118" i="1"/>
  <c r="BG107" i="1"/>
  <c r="J120" i="1" l="1"/>
  <c r="E120" i="1"/>
  <c r="G122" i="1"/>
  <c r="AM144" i="1"/>
  <c r="AC172" i="1"/>
  <c r="I120" i="1"/>
  <c r="AA172" i="1"/>
  <c r="P118" i="1"/>
  <c r="AA118" i="1"/>
  <c r="AA166" i="1" s="1"/>
  <c r="AE118" i="1"/>
  <c r="AE166" i="1" s="1"/>
  <c r="Y118" i="1"/>
  <c r="Y166" i="1" s="1"/>
  <c r="AC118" i="1"/>
  <c r="AC166" i="1" s="1"/>
  <c r="AI144" i="1"/>
  <c r="Z118" i="1"/>
  <c r="Z166" i="1" s="1"/>
  <c r="AD118" i="1"/>
  <c r="AD166" i="1" s="1"/>
  <c r="T118" i="1"/>
  <c r="T166" i="1" s="1"/>
  <c r="AB118" i="1"/>
  <c r="AB166" i="1" s="1"/>
  <c r="AF118" i="1"/>
  <c r="AF166" i="1" s="1"/>
  <c r="J135" i="1"/>
  <c r="I135" i="1" s="1"/>
  <c r="H135" i="1" s="1"/>
  <c r="G135" i="1" s="1"/>
  <c r="F135" i="1" s="1"/>
  <c r="E135" i="1" s="1"/>
  <c r="AI168" i="1"/>
  <c r="AF168" i="1" s="1"/>
  <c r="R170" i="1"/>
  <c r="F225" i="1"/>
  <c r="E225" i="1"/>
  <c r="F218" i="1"/>
  <c r="E218" i="1" s="1"/>
  <c r="R118" i="1"/>
  <c r="R166" i="1" s="1"/>
  <c r="V118" i="1"/>
  <c r="V166" i="1" s="1"/>
  <c r="S118" i="1"/>
  <c r="S166" i="1" s="1"/>
  <c r="W118" i="1"/>
  <c r="W166" i="1" s="1"/>
  <c r="Q118" i="1"/>
  <c r="Q166" i="1" s="1"/>
  <c r="AJ168" i="1"/>
  <c r="AJ144" i="1"/>
  <c r="F120" i="1"/>
  <c r="AK168" i="1"/>
  <c r="AK144" i="1"/>
  <c r="G120" i="1"/>
  <c r="G121" i="1" s="1"/>
  <c r="AP168" i="1"/>
  <c r="L168" i="1" s="1"/>
  <c r="AP144" i="1"/>
  <c r="L144" i="1" s="1"/>
  <c r="L120" i="1"/>
  <c r="AL170" i="1"/>
  <c r="AL146" i="1"/>
  <c r="H122" i="1"/>
  <c r="AI170" i="1"/>
  <c r="AI146" i="1"/>
  <c r="E122" i="1"/>
  <c r="AO168" i="1"/>
  <c r="AO144" i="1"/>
  <c r="K120" i="1"/>
  <c r="AO170" i="1"/>
  <c r="AO146" i="1"/>
  <c r="K122" i="1"/>
  <c r="AP170" i="1"/>
  <c r="L170" i="1" s="1"/>
  <c r="AP146" i="1"/>
  <c r="L146" i="1" s="1"/>
  <c r="L122" i="1"/>
  <c r="AM170" i="1"/>
  <c r="AM146" i="1"/>
  <c r="I122" i="1"/>
  <c r="AJ170" i="1"/>
  <c r="AJ146" i="1"/>
  <c r="F122" i="1"/>
  <c r="AN170" i="1"/>
  <c r="AN146" i="1"/>
  <c r="J122" i="1"/>
  <c r="AL168" i="1"/>
  <c r="AL144" i="1"/>
  <c r="H120" i="1"/>
  <c r="A117" i="1"/>
  <c r="N116" i="1"/>
  <c r="V116" i="1" s="1"/>
  <c r="V164" i="1" s="1"/>
  <c r="A116" i="1"/>
  <c r="A115" i="1"/>
  <c r="BG104" i="1"/>
  <c r="N114" i="1"/>
  <c r="W114" i="1" s="1"/>
  <c r="A114" i="1"/>
  <c r="BG103" i="1"/>
  <c r="A113" i="1"/>
  <c r="BG102" i="1"/>
  <c r="N112" i="1"/>
  <c r="W112" i="1" s="1"/>
  <c r="A112" i="1"/>
  <c r="BG101" i="1"/>
  <c r="N111" i="1"/>
  <c r="U111" i="1" s="1"/>
  <c r="B111" i="1"/>
  <c r="A111" i="1"/>
  <c r="BG100" i="1"/>
  <c r="BG99" i="1"/>
  <c r="BG96" i="1"/>
  <c r="BG95" i="1"/>
  <c r="BG94" i="1"/>
  <c r="AC102" i="1"/>
  <c r="AB102" i="1" s="1"/>
  <c r="AA102" i="1"/>
  <c r="Z102" i="1" s="1"/>
  <c r="Y102" i="1"/>
  <c r="W102" i="1"/>
  <c r="V102" i="1"/>
  <c r="U102" i="1"/>
  <c r="P166" i="1" l="1"/>
  <c r="J121" i="1"/>
  <c r="T116" i="1"/>
  <c r="T114" i="1"/>
  <c r="E121" i="1"/>
  <c r="P114" i="1"/>
  <c r="AE116" i="1"/>
  <c r="I121" i="1"/>
  <c r="Q111" i="1"/>
  <c r="P111" i="1" s="1"/>
  <c r="AA116" i="1"/>
  <c r="T112" i="1"/>
  <c r="R112" i="1"/>
  <c r="Q112" i="1"/>
  <c r="V112" i="1"/>
  <c r="P112" i="1"/>
  <c r="U112" i="1"/>
  <c r="Q114" i="1"/>
  <c r="Q116" i="1"/>
  <c r="Q164" i="1" s="1"/>
  <c r="Z116" i="1"/>
  <c r="Z164" i="1" s="1"/>
  <c r="AD116" i="1"/>
  <c r="AD164" i="1" s="1"/>
  <c r="P116" i="1"/>
  <c r="Y116" i="1"/>
  <c r="Y164" i="1" s="1"/>
  <c r="AC116" i="1"/>
  <c r="AC164" i="1" s="1"/>
  <c r="U114" i="1"/>
  <c r="U116" i="1"/>
  <c r="U164" i="1" s="1"/>
  <c r="AB116" i="1"/>
  <c r="AB164" i="1" s="1"/>
  <c r="AF116" i="1"/>
  <c r="AF164" i="1" s="1"/>
  <c r="AE164" i="1" s="1"/>
  <c r="T111" i="1"/>
  <c r="K121" i="1"/>
  <c r="S114" i="1"/>
  <c r="S186" i="1" s="1"/>
  <c r="S187" i="1" s="1"/>
  <c r="S116" i="1"/>
  <c r="S164" i="1" s="1"/>
  <c r="W116" i="1"/>
  <c r="W164" i="1" s="1"/>
  <c r="R111" i="1"/>
  <c r="V111" i="1"/>
  <c r="S112" i="1"/>
  <c r="S184" i="1" s="1"/>
  <c r="R114" i="1"/>
  <c r="V114" i="1"/>
  <c r="R116" i="1"/>
  <c r="R164" i="1" s="1"/>
  <c r="S111" i="1"/>
  <c r="W111" i="1"/>
  <c r="L111" i="1" s="1"/>
  <c r="H121" i="1"/>
  <c r="K146" i="1"/>
  <c r="J146" i="1" s="1"/>
  <c r="I146" i="1" s="1"/>
  <c r="H146" i="1" s="1"/>
  <c r="G146" i="1" s="1"/>
  <c r="F146" i="1" s="1"/>
  <c r="E146" i="1" s="1"/>
  <c r="F121" i="1"/>
  <c r="L121" i="1"/>
  <c r="K170" i="1"/>
  <c r="J170" i="1" s="1"/>
  <c r="I170" i="1" s="1"/>
  <c r="H170" i="1" s="1"/>
  <c r="G170" i="1" s="1"/>
  <c r="F170" i="1" s="1"/>
  <c r="E170" i="1" s="1"/>
  <c r="K168" i="1"/>
  <c r="L169" i="1"/>
  <c r="K144" i="1"/>
  <c r="L145" i="1"/>
  <c r="T102" i="1"/>
  <c r="S102" i="1"/>
  <c r="R102" i="1"/>
  <c r="Q102" i="1"/>
  <c r="P102" i="1" s="1"/>
  <c r="A102" i="1"/>
  <c r="BG93" i="1"/>
  <c r="A101" i="1"/>
  <c r="BG92" i="1"/>
  <c r="AE100" i="1"/>
  <c r="AD100" i="1"/>
  <c r="AC100" i="1"/>
  <c r="AB100" i="1"/>
  <c r="AA100" i="1"/>
  <c r="Z100" i="1"/>
  <c r="Y100" i="1"/>
  <c r="W100" i="1" s="1"/>
  <c r="V100" i="1" s="1"/>
  <c r="U100" i="1"/>
  <c r="T100" i="1"/>
  <c r="S100" i="1"/>
  <c r="R100" i="1"/>
  <c r="Q100" i="1" s="1"/>
  <c r="P100" i="1"/>
  <c r="A100" i="1"/>
  <c r="BG91" i="1"/>
  <c r="AA164" i="1" l="1"/>
  <c r="T164" i="1"/>
  <c r="K111" i="1"/>
  <c r="J111" i="1" s="1"/>
  <c r="I111" i="1" s="1"/>
  <c r="S185" i="1"/>
  <c r="H111" i="1"/>
  <c r="G111" i="1" s="1"/>
  <c r="F111" i="1" s="1"/>
  <c r="E111" i="1" s="1"/>
  <c r="P164" i="1"/>
  <c r="J144" i="1"/>
  <c r="K145" i="1"/>
  <c r="J168" i="1"/>
  <c r="K169" i="1"/>
  <c r="A99" i="1"/>
  <c r="BG90" i="1"/>
  <c r="AP98" i="1"/>
  <c r="AO98" i="1"/>
  <c r="AN98" i="1"/>
  <c r="AM98" i="1"/>
  <c r="AL98" i="1"/>
  <c r="AK98" i="1"/>
  <c r="AJ98" i="1"/>
  <c r="AI98" i="1"/>
  <c r="AF98" i="1"/>
  <c r="AE98" i="1"/>
  <c r="AD98" i="1"/>
  <c r="AC98" i="1"/>
  <c r="AB98" i="1"/>
  <c r="AA98" i="1"/>
  <c r="Z98" i="1"/>
  <c r="Y98" i="1"/>
  <c r="W98" i="1"/>
  <c r="V98" i="1" s="1"/>
  <c r="U98" i="1" s="1"/>
  <c r="T98" i="1"/>
  <c r="S98" i="1" s="1"/>
  <c r="R98" i="1"/>
  <c r="Q98" i="1"/>
  <c r="P98" i="1"/>
  <c r="L98" i="1" s="1"/>
  <c r="K98" i="1" l="1"/>
  <c r="I168" i="1"/>
  <c r="J169" i="1"/>
  <c r="I144" i="1"/>
  <c r="J145" i="1"/>
  <c r="J98" i="1"/>
  <c r="I98" i="1" s="1"/>
  <c r="H98" i="1" s="1"/>
  <c r="G98" i="1" s="1"/>
  <c r="F98" i="1" s="1"/>
  <c r="E98" i="1" s="1"/>
  <c r="A98" i="1"/>
  <c r="BG89" i="1"/>
  <c r="A97" i="1"/>
  <c r="AP96" i="1"/>
  <c r="AO96" i="1"/>
  <c r="AN96" i="1"/>
  <c r="AM96" i="1"/>
  <c r="AL96" i="1"/>
  <c r="AK96" i="1"/>
  <c r="AJ96" i="1"/>
  <c r="AI96" i="1"/>
  <c r="AF96" i="1"/>
  <c r="AE96" i="1"/>
  <c r="AD96" i="1"/>
  <c r="AC96" i="1"/>
  <c r="AB96" i="1" s="1"/>
  <c r="AA96" i="1"/>
  <c r="Z96" i="1"/>
  <c r="Y96" i="1"/>
  <c r="W96" i="1" s="1"/>
  <c r="V96" i="1"/>
  <c r="U96" i="1"/>
  <c r="T96" i="1" s="1"/>
  <c r="S96" i="1" s="1"/>
  <c r="R96" i="1"/>
  <c r="Q96" i="1"/>
  <c r="P96" i="1"/>
  <c r="A96" i="1"/>
  <c r="A95" i="1"/>
  <c r="BG86" i="1"/>
  <c r="AF94" i="1"/>
  <c r="AE94" i="1"/>
  <c r="AD94" i="1"/>
  <c r="AC94" i="1"/>
  <c r="AB94" i="1"/>
  <c r="AA94" i="1"/>
  <c r="Z94" i="1"/>
  <c r="Y94" i="1"/>
  <c r="W94" i="1" s="1"/>
  <c r="V94" i="1" s="1"/>
  <c r="U94" i="1" s="1"/>
  <c r="T94" i="1" s="1"/>
  <c r="S94" i="1"/>
  <c r="R94" i="1" s="1"/>
  <c r="Q94" i="1" s="1"/>
  <c r="P94" i="1"/>
  <c r="A94" i="1"/>
  <c r="BG85" i="1"/>
  <c r="A93" i="1"/>
  <c r="BG84" i="1"/>
  <c r="AF92" i="1"/>
  <c r="AE92" i="1"/>
  <c r="AD92" i="1"/>
  <c r="AC92" i="1" s="1"/>
  <c r="AB92" i="1"/>
  <c r="AA92" i="1"/>
  <c r="Z92" i="1" s="1"/>
  <c r="Y92" i="1"/>
  <c r="W92" i="1"/>
  <c r="V92" i="1"/>
  <c r="U92" i="1"/>
  <c r="T92" i="1"/>
  <c r="S92" i="1"/>
  <c r="R92" i="1" s="1"/>
  <c r="Q92" i="1"/>
  <c r="P92" i="1"/>
  <c r="A92" i="1"/>
  <c r="BG83" i="1"/>
  <c r="A91" i="1"/>
  <c r="BG82" i="1"/>
  <c r="N90" i="1"/>
  <c r="W90" i="1" s="1"/>
  <c r="A90" i="1"/>
  <c r="BG81" i="1"/>
  <c r="A89" i="1"/>
  <c r="BG80" i="1"/>
  <c r="N88" i="1"/>
  <c r="T88" i="1" s="1"/>
  <c r="A88" i="1"/>
  <c r="BG79" i="1"/>
  <c r="N87" i="1"/>
  <c r="Q87" i="1" s="1"/>
  <c r="B87" i="1"/>
  <c r="A87" i="1"/>
  <c r="BG78" i="1"/>
  <c r="BG77" i="1"/>
  <c r="BG74" i="1"/>
  <c r="N80" i="1"/>
  <c r="BG73" i="1"/>
  <c r="BG72" i="1"/>
  <c r="AF78" i="1"/>
  <c r="AE78" i="1"/>
  <c r="AD78" i="1"/>
  <c r="AC78" i="1"/>
  <c r="AB78" i="1"/>
  <c r="AA78" i="1"/>
  <c r="Z78" i="1"/>
  <c r="Y78" i="1" s="1"/>
  <c r="W78" i="1"/>
  <c r="V78" i="1"/>
  <c r="U78" i="1"/>
  <c r="T78" i="1" s="1"/>
  <c r="S78" i="1"/>
  <c r="R78" i="1"/>
  <c r="Q78" i="1"/>
  <c r="P78" i="1"/>
  <c r="N78" i="1"/>
  <c r="A78" i="1"/>
  <c r="BG71" i="1"/>
  <c r="A77" i="1"/>
  <c r="AF76" i="1"/>
  <c r="AE76" i="1" s="1"/>
  <c r="AD76" i="1"/>
  <c r="AC76" i="1"/>
  <c r="AB76" i="1"/>
  <c r="AA76" i="1"/>
  <c r="Z76" i="1"/>
  <c r="Y76" i="1"/>
  <c r="W76" i="1"/>
  <c r="V76" i="1"/>
  <c r="U76" i="1"/>
  <c r="T76" i="1" s="1"/>
  <c r="S76" i="1"/>
  <c r="R76" i="1"/>
  <c r="Q76" i="1"/>
  <c r="P76" i="1" s="1"/>
  <c r="A76" i="1"/>
  <c r="A75" i="1"/>
  <c r="BG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G67" i="1"/>
  <c r="A73" i="1"/>
  <c r="BG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G65" i="1"/>
  <c r="A71" i="1"/>
  <c r="BG64" i="1"/>
  <c r="AF70" i="1"/>
  <c r="AE70" i="1"/>
  <c r="AD70" i="1"/>
  <c r="AC70" i="1"/>
  <c r="AB70" i="1"/>
  <c r="AA70" i="1"/>
  <c r="Z70" i="1"/>
  <c r="Y70" i="1"/>
  <c r="W70" i="1"/>
  <c r="V70" i="1"/>
  <c r="U70" i="1"/>
  <c r="T70" i="1"/>
  <c r="S70" i="1"/>
  <c r="R70" i="1"/>
  <c r="Q70" i="1"/>
  <c r="P70" i="1"/>
  <c r="A70" i="1"/>
  <c r="BG63" i="1"/>
  <c r="P90" i="1" l="1"/>
  <c r="P87" i="1"/>
  <c r="U90" i="1"/>
  <c r="T90" i="1"/>
  <c r="T87" i="1"/>
  <c r="R90" i="1"/>
  <c r="U87" i="1"/>
  <c r="Q90" i="1"/>
  <c r="V90" i="1"/>
  <c r="S88" i="1"/>
  <c r="S87" i="1"/>
  <c r="W87" i="1"/>
  <c r="L87" i="1" s="1"/>
  <c r="Q88" i="1"/>
  <c r="U88" i="1"/>
  <c r="W88" i="1"/>
  <c r="L74" i="1"/>
  <c r="R88" i="1"/>
  <c r="V88" i="1"/>
  <c r="L72" i="1"/>
  <c r="K72" i="1" s="1"/>
  <c r="J72" i="1" s="1"/>
  <c r="I72" i="1" s="1"/>
  <c r="R87" i="1"/>
  <c r="V87" i="1"/>
  <c r="P88" i="1"/>
  <c r="S90" i="1"/>
  <c r="H72" i="1"/>
  <c r="G72" i="1" s="1"/>
  <c r="F72" i="1" s="1"/>
  <c r="E72" i="1" s="1"/>
  <c r="L96" i="1"/>
  <c r="L97" i="1" s="1"/>
  <c r="H144" i="1"/>
  <c r="I145" i="1"/>
  <c r="H168" i="1"/>
  <c r="I169" i="1"/>
  <c r="K74" i="1"/>
  <c r="J74" i="1" s="1"/>
  <c r="I74" i="1" s="1"/>
  <c r="H74" i="1" s="1"/>
  <c r="G74" i="1" s="1"/>
  <c r="F74" i="1" s="1"/>
  <c r="E74" i="1" s="1"/>
  <c r="K96" i="1"/>
  <c r="L73" i="1" l="1"/>
  <c r="E73" i="1"/>
  <c r="K87" i="1"/>
  <c r="J87" i="1" s="1"/>
  <c r="I87" i="1" s="1"/>
  <c r="H87" i="1" s="1"/>
  <c r="G87" i="1" s="1"/>
  <c r="F87" i="1" s="1"/>
  <c r="E87" i="1" s="1"/>
  <c r="H73" i="1"/>
  <c r="K73" i="1"/>
  <c r="G73" i="1"/>
  <c r="J73" i="1"/>
  <c r="I73" i="1"/>
  <c r="J96" i="1"/>
  <c r="K97" i="1"/>
  <c r="G144" i="1"/>
  <c r="H145" i="1"/>
  <c r="F73" i="1"/>
  <c r="G168" i="1"/>
  <c r="H169" i="1"/>
  <c r="A69" i="1"/>
  <c r="BG62" i="1"/>
  <c r="AF68" i="1"/>
  <c r="AE68" i="1"/>
  <c r="AD68" i="1"/>
  <c r="AC68" i="1"/>
  <c r="AB68" i="1" s="1"/>
  <c r="AA68" i="1"/>
  <c r="Z68" i="1"/>
  <c r="Y68" i="1" s="1"/>
  <c r="W68" i="1"/>
  <c r="V68" i="1" s="1"/>
  <c r="U68" i="1" s="1"/>
  <c r="T68" i="1"/>
  <c r="S68" i="1" s="1"/>
  <c r="R68" i="1"/>
  <c r="Q68" i="1" s="1"/>
  <c r="P68" i="1"/>
  <c r="A68" i="1"/>
  <c r="BG61" i="1"/>
  <c r="A67" i="1"/>
  <c r="BG60" i="1"/>
  <c r="N66" i="1"/>
  <c r="W66" i="1" s="1"/>
  <c r="A66" i="1"/>
  <c r="BG59" i="1"/>
  <c r="A65" i="1"/>
  <c r="BG58" i="1"/>
  <c r="N64" i="1"/>
  <c r="T64" i="1" s="1"/>
  <c r="A64" i="1"/>
  <c r="BG57" i="1"/>
  <c r="N63" i="1"/>
  <c r="P63" i="1" s="1"/>
  <c r="B63" i="1"/>
  <c r="A63" i="1"/>
  <c r="BG56" i="1"/>
  <c r="BG55" i="1"/>
  <c r="BG54" i="1"/>
  <c r="BG53" i="1"/>
  <c r="BG52" i="1"/>
  <c r="BG51" i="1"/>
  <c r="V63" i="1" l="1"/>
  <c r="U63" i="1" s="1"/>
  <c r="R66" i="1"/>
  <c r="Q63" i="1"/>
  <c r="Q66" i="1"/>
  <c r="V66" i="1"/>
  <c r="T66" i="1"/>
  <c r="T63" i="1"/>
  <c r="P66" i="1"/>
  <c r="U66" i="1"/>
  <c r="S64" i="1"/>
  <c r="W64" i="1"/>
  <c r="R64" i="1"/>
  <c r="V64" i="1"/>
  <c r="S63" i="1"/>
  <c r="Q64" i="1"/>
  <c r="U64" i="1"/>
  <c r="R63" i="1"/>
  <c r="W63" i="1"/>
  <c r="L63" i="1" s="1"/>
  <c r="P64" i="1"/>
  <c r="S66" i="1"/>
  <c r="C159" i="1"/>
  <c r="C135" i="1"/>
  <c r="B136" i="1"/>
  <c r="B112" i="1"/>
  <c r="C111" i="1"/>
  <c r="B88" i="1"/>
  <c r="C87" i="1"/>
  <c r="C63" i="1"/>
  <c r="B64" i="1"/>
  <c r="I96" i="1"/>
  <c r="J97" i="1"/>
  <c r="F168" i="1"/>
  <c r="G169" i="1"/>
  <c r="F144" i="1"/>
  <c r="G145" i="1"/>
  <c r="BG50" i="1"/>
  <c r="BG49" i="1"/>
  <c r="BG48" i="1"/>
  <c r="BG47" i="1"/>
  <c r="BG46" i="1"/>
  <c r="K63" i="1" l="1"/>
  <c r="J63" i="1" s="1"/>
  <c r="I63" i="1" s="1"/>
  <c r="H63" i="1" s="1"/>
  <c r="G63" i="1"/>
  <c r="F63" i="1" s="1"/>
  <c r="E63" i="1" s="1"/>
  <c r="C160" i="1"/>
  <c r="B160" i="1" s="1"/>
  <c r="B137" i="1"/>
  <c r="C136" i="1"/>
  <c r="B113" i="1"/>
  <c r="C112" i="1"/>
  <c r="C88" i="1"/>
  <c r="B89" i="1"/>
  <c r="B65" i="1"/>
  <c r="C64" i="1"/>
  <c r="E144" i="1"/>
  <c r="E145" i="1" s="1"/>
  <c r="F145" i="1"/>
  <c r="H96" i="1"/>
  <c r="I97" i="1"/>
  <c r="E168" i="1"/>
  <c r="E169" i="1" s="1"/>
  <c r="F169" i="1"/>
  <c r="BG45" i="1"/>
  <c r="BG44" i="1"/>
  <c r="C161" i="1" l="1"/>
  <c r="B161" i="1" s="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l="1"/>
  <c r="C162" i="1"/>
  <c r="B139" i="1"/>
  <c r="C138" i="1"/>
  <c r="C114" i="1"/>
  <c r="C90" i="1"/>
  <c r="B90" i="1" s="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l="1"/>
  <c r="B164" i="1"/>
  <c r="C139" i="1"/>
  <c r="C115" i="1"/>
  <c r="B115" i="1" s="1"/>
  <c r="B116" i="1"/>
  <c r="C91" i="1"/>
  <c r="B92" i="1"/>
  <c r="B68" i="1"/>
  <c r="C67" i="1"/>
  <c r="E96" i="1"/>
  <c r="E97" i="1" s="1"/>
  <c r="F97" i="1"/>
  <c r="AH112" i="1"/>
  <c r="AO112" i="1" s="1"/>
  <c r="AH114" i="1"/>
  <c r="AP114" i="1" s="1"/>
  <c r="AP162" i="1" s="1"/>
  <c r="L162" i="1" s="1"/>
  <c r="AH116" i="1"/>
  <c r="AO116" i="1" s="1"/>
  <c r="AH118" i="1"/>
  <c r="AO118" i="1" s="1"/>
  <c r="AH124" i="1"/>
  <c r="AO124" i="1" s="1"/>
  <c r="AF100" i="1"/>
  <c r="AH126" i="1"/>
  <c r="AF142" i="1"/>
  <c r="AF102" i="1"/>
  <c r="AE102" i="1"/>
  <c r="AD102" i="1"/>
  <c r="AP126" i="1" l="1"/>
  <c r="L126" i="1" s="1"/>
  <c r="L127" i="1" s="1"/>
  <c r="AI126" i="1"/>
  <c r="E126" i="1" s="1"/>
  <c r="E127" i="1" s="1"/>
  <c r="AJ126" i="1"/>
  <c r="AN126" i="1"/>
  <c r="J126" i="1" s="1"/>
  <c r="J127" i="1" s="1"/>
  <c r="AM112" i="1"/>
  <c r="I112" i="1" s="1"/>
  <c r="AK112" i="1"/>
  <c r="AK136" i="1" s="1"/>
  <c r="G136" i="1" s="1"/>
  <c r="AN112" i="1"/>
  <c r="AN88" i="1" s="1"/>
  <c r="J88" i="1" s="1"/>
  <c r="AO114" i="1"/>
  <c r="AO90" i="1" s="1"/>
  <c r="K90" i="1" s="1"/>
  <c r="AJ112" i="1"/>
  <c r="AJ88" i="1" s="1"/>
  <c r="F88" i="1" s="1"/>
  <c r="AJ114" i="1"/>
  <c r="AJ90" i="1" s="1"/>
  <c r="F90" i="1" s="1"/>
  <c r="AI114" i="1"/>
  <c r="AI90" i="1" s="1"/>
  <c r="E90" i="1" s="1"/>
  <c r="AM114" i="1"/>
  <c r="AM162" i="1" s="1"/>
  <c r="I162" i="1" s="1"/>
  <c r="AI112" i="1"/>
  <c r="AI88" i="1" s="1"/>
  <c r="E88" i="1" s="1"/>
  <c r="AL124" i="1"/>
  <c r="AL100" i="1" s="1"/>
  <c r="H100" i="1" s="1"/>
  <c r="H99" i="1" s="1"/>
  <c r="AL112" i="1"/>
  <c r="AL88" i="1" s="1"/>
  <c r="H88" i="1" s="1"/>
  <c r="AK124" i="1"/>
  <c r="AK100" i="1" s="1"/>
  <c r="G100" i="1" s="1"/>
  <c r="G99" i="1" s="1"/>
  <c r="AL114" i="1"/>
  <c r="AL162" i="1" s="1"/>
  <c r="H162" i="1" s="1"/>
  <c r="AO126" i="1"/>
  <c r="AO174" i="1" s="1"/>
  <c r="AM126" i="1"/>
  <c r="AM150" i="1" s="1"/>
  <c r="AI124" i="1"/>
  <c r="AI148" i="1" s="1"/>
  <c r="E148" i="1" s="1"/>
  <c r="E147" i="1" s="1"/>
  <c r="AM124" i="1"/>
  <c r="AM100" i="1" s="1"/>
  <c r="I100" i="1" s="1"/>
  <c r="I99" i="1" s="1"/>
  <c r="AJ124" i="1"/>
  <c r="AJ76" i="1" s="1"/>
  <c r="F76" i="1" s="1"/>
  <c r="F75" i="1" s="1"/>
  <c r="AK114" i="1"/>
  <c r="AK162" i="1" s="1"/>
  <c r="G162" i="1" s="1"/>
  <c r="AO64" i="1"/>
  <c r="K64" i="1" s="1"/>
  <c r="AO160" i="1"/>
  <c r="K160" i="1" s="1"/>
  <c r="AP112" i="1"/>
  <c r="AP160" i="1" s="1"/>
  <c r="L160" i="1" s="1"/>
  <c r="L161" i="1" s="1"/>
  <c r="AN114" i="1"/>
  <c r="AO148" i="1"/>
  <c r="K148" i="1" s="1"/>
  <c r="K147" i="1" s="1"/>
  <c r="K124" i="1"/>
  <c r="K123" i="1" s="1"/>
  <c r="AO100" i="1"/>
  <c r="K100" i="1" s="1"/>
  <c r="K99" i="1" s="1"/>
  <c r="AO76" i="1"/>
  <c r="K76" i="1" s="1"/>
  <c r="AO172" i="1"/>
  <c r="K172" i="1" s="1"/>
  <c r="AP78" i="1"/>
  <c r="L78" i="1" s="1"/>
  <c r="AO94" i="1"/>
  <c r="K94" i="1" s="1"/>
  <c r="K95" i="1" s="1"/>
  <c r="AO166" i="1"/>
  <c r="K166" i="1" s="1"/>
  <c r="K167" i="1" s="1"/>
  <c r="K118" i="1"/>
  <c r="K119" i="1" s="1"/>
  <c r="AO142" i="1"/>
  <c r="K142" i="1" s="1"/>
  <c r="K143" i="1" s="1"/>
  <c r="AO70" i="1"/>
  <c r="K70" i="1" s="1"/>
  <c r="K71" i="1" s="1"/>
  <c r="AO140" i="1"/>
  <c r="K140" i="1" s="1"/>
  <c r="AO92" i="1"/>
  <c r="K92" i="1" s="1"/>
  <c r="AO68" i="1"/>
  <c r="K68" i="1" s="1"/>
  <c r="K116" i="1"/>
  <c r="AO164" i="1"/>
  <c r="K164" i="1" s="1"/>
  <c r="AP118" i="1"/>
  <c r="AP116" i="1"/>
  <c r="AP90" i="1"/>
  <c r="L90" i="1" s="1"/>
  <c r="AL126" i="1"/>
  <c r="H126" i="1" s="1"/>
  <c r="H127" i="1" s="1"/>
  <c r="AO136" i="1"/>
  <c r="K136" i="1" s="1"/>
  <c r="AP138" i="1"/>
  <c r="L138" i="1" s="1"/>
  <c r="AP66" i="1"/>
  <c r="L66" i="1" s="1"/>
  <c r="AI118" i="1"/>
  <c r="AJ118" i="1"/>
  <c r="AK118" i="1"/>
  <c r="AL118" i="1"/>
  <c r="AM118" i="1"/>
  <c r="AN118" i="1"/>
  <c r="AP124" i="1"/>
  <c r="AK126" i="1"/>
  <c r="G126" i="1" s="1"/>
  <c r="G127" i="1" s="1"/>
  <c r="F126" i="1"/>
  <c r="F127" i="1" s="1"/>
  <c r="L114" i="1"/>
  <c r="AN124" i="1"/>
  <c r="AO88" i="1"/>
  <c r="K88" i="1" s="1"/>
  <c r="K112" i="1"/>
  <c r="AI116" i="1"/>
  <c r="AJ116" i="1"/>
  <c r="AK116" i="1"/>
  <c r="AL116" i="1"/>
  <c r="AM116" i="1"/>
  <c r="AN116" i="1"/>
  <c r="C164" i="1"/>
  <c r="B165" i="1"/>
  <c r="B141" i="1"/>
  <c r="C140" i="1"/>
  <c r="C116" i="1"/>
  <c r="B117" i="1"/>
  <c r="C92" i="1"/>
  <c r="C68" i="1"/>
  <c r="B69" i="1"/>
  <c r="K89" i="1" l="1"/>
  <c r="AP150" i="1"/>
  <c r="L150" i="1" s="1"/>
  <c r="L151" i="1" s="1"/>
  <c r="AP102" i="1"/>
  <c r="L102" i="1" s="1"/>
  <c r="L103" i="1" s="1"/>
  <c r="AP174" i="1"/>
  <c r="L174" i="1" s="1"/>
  <c r="AO138" i="1"/>
  <c r="K138" i="1" s="1"/>
  <c r="K139" i="1" s="1"/>
  <c r="AM66" i="1"/>
  <c r="I66" i="1" s="1"/>
  <c r="AO66" i="1"/>
  <c r="K66" i="1" s="1"/>
  <c r="K65" i="1" s="1"/>
  <c r="AO162" i="1"/>
  <c r="K162" i="1" s="1"/>
  <c r="K163" i="1" s="1"/>
  <c r="K114" i="1"/>
  <c r="K115" i="1" s="1"/>
  <c r="AN136" i="1"/>
  <c r="J136" i="1" s="1"/>
  <c r="AM136" i="1"/>
  <c r="I136" i="1" s="1"/>
  <c r="AM88" i="1"/>
  <c r="I88" i="1" s="1"/>
  <c r="AM64" i="1"/>
  <c r="I64" i="1" s="1"/>
  <c r="F112" i="1"/>
  <c r="AM160" i="1"/>
  <c r="I160" i="1" s="1"/>
  <c r="I161" i="1" s="1"/>
  <c r="G112" i="1"/>
  <c r="AK160" i="1"/>
  <c r="G160" i="1" s="1"/>
  <c r="G161" i="1" s="1"/>
  <c r="AK88" i="1"/>
  <c r="G88" i="1" s="1"/>
  <c r="AK64" i="1"/>
  <c r="G64" i="1" s="1"/>
  <c r="J112" i="1"/>
  <c r="AN64" i="1"/>
  <c r="J64" i="1" s="1"/>
  <c r="K91" i="1"/>
  <c r="AN160" i="1"/>
  <c r="J160" i="1" s="1"/>
  <c r="AI100" i="1"/>
  <c r="E100" i="1" s="1"/>
  <c r="E99" i="1" s="1"/>
  <c r="F114" i="1"/>
  <c r="AJ162" i="1"/>
  <c r="F162" i="1" s="1"/>
  <c r="AJ66" i="1"/>
  <c r="F66" i="1" s="1"/>
  <c r="F89" i="1"/>
  <c r="E89" i="1"/>
  <c r="AJ160" i="1"/>
  <c r="F160" i="1" s="1"/>
  <c r="I114" i="1"/>
  <c r="I113" i="1" s="1"/>
  <c r="AJ136" i="1"/>
  <c r="F136" i="1" s="1"/>
  <c r="AJ64" i="1"/>
  <c r="F64" i="1" s="1"/>
  <c r="AK148" i="1"/>
  <c r="G148" i="1" s="1"/>
  <c r="G147" i="1" s="1"/>
  <c r="AJ138" i="1"/>
  <c r="F138" i="1" s="1"/>
  <c r="AJ100" i="1"/>
  <c r="F100" i="1" s="1"/>
  <c r="F99" i="1" s="1"/>
  <c r="AJ148" i="1"/>
  <c r="F148" i="1" s="1"/>
  <c r="F147" i="1" s="1"/>
  <c r="AI162" i="1"/>
  <c r="E162" i="1" s="1"/>
  <c r="AO150" i="1"/>
  <c r="K150" i="1" s="1"/>
  <c r="K151" i="1" s="1"/>
  <c r="AI66" i="1"/>
  <c r="E66" i="1" s="1"/>
  <c r="AI138" i="1"/>
  <c r="E138" i="1" s="1"/>
  <c r="AL172" i="1"/>
  <c r="H172" i="1" s="1"/>
  <c r="H171" i="1" s="1"/>
  <c r="H124" i="1"/>
  <c r="H123" i="1" s="1"/>
  <c r="AL148" i="1"/>
  <c r="H148" i="1" s="1"/>
  <c r="H147" i="1" s="1"/>
  <c r="E114" i="1"/>
  <c r="AM90" i="1"/>
  <c r="I90" i="1" s="1"/>
  <c r="AM138" i="1"/>
  <c r="I138" i="1" s="1"/>
  <c r="I137" i="1" s="1"/>
  <c r="AJ172" i="1"/>
  <c r="F172" i="1" s="1"/>
  <c r="F171" i="1" s="1"/>
  <c r="AI136" i="1"/>
  <c r="E136" i="1" s="1"/>
  <c r="E112" i="1"/>
  <c r="F124" i="1"/>
  <c r="F125" i="1" s="1"/>
  <c r="AL76" i="1"/>
  <c r="H76" i="1" s="1"/>
  <c r="H75" i="1" s="1"/>
  <c r="AI64" i="1"/>
  <c r="E64" i="1" s="1"/>
  <c r="AI160" i="1"/>
  <c r="E160" i="1" s="1"/>
  <c r="AL64" i="1"/>
  <c r="H64" i="1" s="1"/>
  <c r="AK76" i="1"/>
  <c r="G76" i="1" s="1"/>
  <c r="G75" i="1" s="1"/>
  <c r="AM78" i="1"/>
  <c r="AL90" i="1"/>
  <c r="H90" i="1" s="1"/>
  <c r="H89" i="1" s="1"/>
  <c r="AL160" i="1"/>
  <c r="H160" i="1" s="1"/>
  <c r="H161" i="1" s="1"/>
  <c r="AL136" i="1"/>
  <c r="H136" i="1" s="1"/>
  <c r="H112" i="1"/>
  <c r="G124" i="1"/>
  <c r="G123" i="1" s="1"/>
  <c r="AK172" i="1"/>
  <c r="G172" i="1" s="1"/>
  <c r="G171" i="1" s="1"/>
  <c r="AI76" i="1"/>
  <c r="E76" i="1" s="1"/>
  <c r="E75" i="1" s="1"/>
  <c r="AI172" i="1"/>
  <c r="E172" i="1" s="1"/>
  <c r="E171" i="1" s="1"/>
  <c r="AK90" i="1"/>
  <c r="G90" i="1" s="1"/>
  <c r="AO102" i="1"/>
  <c r="K102" i="1" s="1"/>
  <c r="K101" i="1" s="1"/>
  <c r="AL138" i="1"/>
  <c r="H138" i="1" s="1"/>
  <c r="AL66" i="1"/>
  <c r="H66" i="1" s="1"/>
  <c r="AM174" i="1"/>
  <c r="E124" i="1"/>
  <c r="E123" i="1" s="1"/>
  <c r="K161" i="1"/>
  <c r="H114" i="1"/>
  <c r="L79" i="1"/>
  <c r="AO78" i="1"/>
  <c r="K78" i="1" s="1"/>
  <c r="K126" i="1"/>
  <c r="K127" i="1" s="1"/>
  <c r="AM76" i="1"/>
  <c r="I76" i="1" s="1"/>
  <c r="I124" i="1"/>
  <c r="K174" i="1"/>
  <c r="K173" i="1" s="1"/>
  <c r="L175" i="1"/>
  <c r="AK66" i="1"/>
  <c r="G66" i="1" s="1"/>
  <c r="AK138" i="1"/>
  <c r="G138" i="1" s="1"/>
  <c r="G137" i="1" s="1"/>
  <c r="G114" i="1"/>
  <c r="AM102" i="1"/>
  <c r="I126" i="1"/>
  <c r="I127" i="1" s="1"/>
  <c r="AM148" i="1"/>
  <c r="I148" i="1" s="1"/>
  <c r="I147" i="1" s="1"/>
  <c r="AM172" i="1"/>
  <c r="I172" i="1" s="1"/>
  <c r="AN90" i="1"/>
  <c r="J90" i="1" s="1"/>
  <c r="J89" i="1" s="1"/>
  <c r="AN66" i="1"/>
  <c r="J66" i="1" s="1"/>
  <c r="AN162" i="1"/>
  <c r="J162" i="1" s="1"/>
  <c r="AN138" i="1"/>
  <c r="J138" i="1" s="1"/>
  <c r="J114" i="1"/>
  <c r="AP88" i="1"/>
  <c r="L88" i="1" s="1"/>
  <c r="L89" i="1" s="1"/>
  <c r="AP136" i="1"/>
  <c r="L136" i="1" s="1"/>
  <c r="L137" i="1" s="1"/>
  <c r="AP64" i="1"/>
  <c r="L64" i="1" s="1"/>
  <c r="L65" i="1" s="1"/>
  <c r="L112" i="1"/>
  <c r="L113" i="1" s="1"/>
  <c r="K141" i="1"/>
  <c r="K165" i="1"/>
  <c r="K93" i="1"/>
  <c r="K117" i="1"/>
  <c r="AK68" i="1"/>
  <c r="G68" i="1" s="1"/>
  <c r="AK92" i="1"/>
  <c r="G92" i="1" s="1"/>
  <c r="AK164" i="1"/>
  <c r="G164" i="1" s="1"/>
  <c r="G163" i="1" s="1"/>
  <c r="G116" i="1"/>
  <c r="AK140" i="1"/>
  <c r="G140" i="1" s="1"/>
  <c r="AL140" i="1"/>
  <c r="H140" i="1" s="1"/>
  <c r="AL92" i="1"/>
  <c r="H92" i="1" s="1"/>
  <c r="AL68" i="1"/>
  <c r="H68" i="1" s="1"/>
  <c r="AL164" i="1"/>
  <c r="H164" i="1" s="1"/>
  <c r="H116" i="1"/>
  <c r="AN172" i="1"/>
  <c r="J172" i="1" s="1"/>
  <c r="AN76" i="1"/>
  <c r="J76" i="1" s="1"/>
  <c r="AN100" i="1"/>
  <c r="J100" i="1" s="1"/>
  <c r="AN148" i="1"/>
  <c r="J148" i="1" s="1"/>
  <c r="J124" i="1"/>
  <c r="AK78" i="1"/>
  <c r="AK150" i="1"/>
  <c r="AK174" i="1"/>
  <c r="AK102" i="1"/>
  <c r="G102" i="1" s="1"/>
  <c r="AP100" i="1"/>
  <c r="L100" i="1" s="1"/>
  <c r="AP148" i="1"/>
  <c r="L148" i="1" s="1"/>
  <c r="AP172" i="1"/>
  <c r="L172" i="1" s="1"/>
  <c r="AP76" i="1"/>
  <c r="L76" i="1" s="1"/>
  <c r="L124" i="1"/>
  <c r="AI94" i="1"/>
  <c r="E94" i="1" s="1"/>
  <c r="E95" i="1" s="1"/>
  <c r="AI142" i="1"/>
  <c r="E142" i="1" s="1"/>
  <c r="AI70" i="1"/>
  <c r="E70" i="1" s="1"/>
  <c r="E71" i="1" s="1"/>
  <c r="AI166" i="1"/>
  <c r="E166" i="1" s="1"/>
  <c r="E167" i="1" s="1"/>
  <c r="E118" i="1"/>
  <c r="E119" i="1" s="1"/>
  <c r="AL78" i="1"/>
  <c r="AL150" i="1"/>
  <c r="AL174" i="1"/>
  <c r="H174" i="1" s="1"/>
  <c r="AL102" i="1"/>
  <c r="AM68" i="1"/>
  <c r="I68" i="1" s="1"/>
  <c r="AM92" i="1"/>
  <c r="I92" i="1" s="1"/>
  <c r="AM140" i="1"/>
  <c r="I140" i="1" s="1"/>
  <c r="AM164" i="1"/>
  <c r="I164" i="1" s="1"/>
  <c r="I116" i="1"/>
  <c r="AI140" i="1"/>
  <c r="E140" i="1" s="1"/>
  <c r="E116" i="1"/>
  <c r="AI92" i="1"/>
  <c r="E92" i="1" s="1"/>
  <c r="AI68" i="1"/>
  <c r="E68" i="1" s="1"/>
  <c r="AI164" i="1"/>
  <c r="E164" i="1" s="1"/>
  <c r="AJ78" i="1"/>
  <c r="AJ150" i="1"/>
  <c r="AJ174" i="1"/>
  <c r="AJ102" i="1"/>
  <c r="AP70" i="1"/>
  <c r="L70" i="1" s="1"/>
  <c r="L71" i="1" s="1"/>
  <c r="AP142" i="1"/>
  <c r="L142" i="1" s="1"/>
  <c r="L143" i="1" s="1"/>
  <c r="L118" i="1"/>
  <c r="L119" i="1" s="1"/>
  <c r="AP94" i="1"/>
  <c r="L94" i="1" s="1"/>
  <c r="L95" i="1" s="1"/>
  <c r="AP166" i="1"/>
  <c r="L166" i="1" s="1"/>
  <c r="L167" i="1" s="1"/>
  <c r="AN94" i="1"/>
  <c r="J94" i="1" s="1"/>
  <c r="J95" i="1" s="1"/>
  <c r="AN142" i="1"/>
  <c r="J142" i="1" s="1"/>
  <c r="AN70" i="1"/>
  <c r="J70" i="1" s="1"/>
  <c r="J71" i="1" s="1"/>
  <c r="AN166" i="1"/>
  <c r="J166" i="1" s="1"/>
  <c r="J118" i="1"/>
  <c r="J119" i="1" s="1"/>
  <c r="AK94" i="1"/>
  <c r="G94" i="1" s="1"/>
  <c r="G95" i="1" s="1"/>
  <c r="AK70" i="1"/>
  <c r="G70" i="1" s="1"/>
  <c r="G71" i="1" s="1"/>
  <c r="G118" i="1"/>
  <c r="G119" i="1" s="1"/>
  <c r="AK142" i="1"/>
  <c r="G142" i="1" s="1"/>
  <c r="G143" i="1" s="1"/>
  <c r="AK166" i="1"/>
  <c r="G166" i="1" s="1"/>
  <c r="AN78" i="1"/>
  <c r="AN150" i="1"/>
  <c r="J150" i="1" s="1"/>
  <c r="AN102" i="1"/>
  <c r="J102" i="1" s="1"/>
  <c r="AN174" i="1"/>
  <c r="K171" i="1"/>
  <c r="AL94" i="1"/>
  <c r="H94" i="1" s="1"/>
  <c r="H95" i="1" s="1"/>
  <c r="AL142" i="1"/>
  <c r="H142" i="1" s="1"/>
  <c r="H143" i="1" s="1"/>
  <c r="AL166" i="1"/>
  <c r="H166" i="1" s="1"/>
  <c r="H167" i="1" s="1"/>
  <c r="H118" i="1"/>
  <c r="H119" i="1" s="1"/>
  <c r="AL70" i="1"/>
  <c r="H70" i="1" s="1"/>
  <c r="H71" i="1" s="1"/>
  <c r="AN68" i="1"/>
  <c r="J68" i="1" s="1"/>
  <c r="AN92" i="1"/>
  <c r="J92" i="1" s="1"/>
  <c r="AN140" i="1"/>
  <c r="J140" i="1" s="1"/>
  <c r="AN164" i="1"/>
  <c r="J164" i="1" s="1"/>
  <c r="J116" i="1"/>
  <c r="AJ140" i="1"/>
  <c r="F140" i="1" s="1"/>
  <c r="AJ164" i="1"/>
  <c r="F164" i="1" s="1"/>
  <c r="AJ92" i="1"/>
  <c r="F92" i="1" s="1"/>
  <c r="AJ68" i="1"/>
  <c r="F68" i="1" s="1"/>
  <c r="F116" i="1"/>
  <c r="AI78" i="1"/>
  <c r="AI174" i="1"/>
  <c r="AI150" i="1"/>
  <c r="AI102" i="1"/>
  <c r="AM94" i="1"/>
  <c r="I94" i="1" s="1"/>
  <c r="I95" i="1" s="1"/>
  <c r="I118" i="1"/>
  <c r="I119" i="1" s="1"/>
  <c r="AM70" i="1"/>
  <c r="I70" i="1" s="1"/>
  <c r="AM142" i="1"/>
  <c r="I142" i="1" s="1"/>
  <c r="AM166" i="1"/>
  <c r="I166" i="1" s="1"/>
  <c r="I167" i="1" s="1"/>
  <c r="AJ94" i="1"/>
  <c r="F94" i="1" s="1"/>
  <c r="F95" i="1" s="1"/>
  <c r="F118" i="1"/>
  <c r="F119" i="1" s="1"/>
  <c r="AJ70" i="1"/>
  <c r="F70" i="1" s="1"/>
  <c r="AJ142" i="1"/>
  <c r="F142" i="1" s="1"/>
  <c r="F143" i="1" s="1"/>
  <c r="AJ166" i="1"/>
  <c r="F166" i="1" s="1"/>
  <c r="L116" i="1"/>
  <c r="AP68" i="1"/>
  <c r="L68" i="1" s="1"/>
  <c r="AP92" i="1"/>
  <c r="L92" i="1" s="1"/>
  <c r="AP164" i="1"/>
  <c r="L164" i="1" s="1"/>
  <c r="AP140" i="1"/>
  <c r="L140" i="1" s="1"/>
  <c r="K69" i="1"/>
  <c r="K75" i="1"/>
  <c r="C165" i="1"/>
  <c r="B166" i="1"/>
  <c r="B142" i="1"/>
  <c r="B118" i="1"/>
  <c r="C117" i="1"/>
  <c r="C93" i="1"/>
  <c r="B70" i="1"/>
  <c r="B94" i="1"/>
  <c r="C69" i="1"/>
  <c r="C141" i="1"/>
  <c r="B140" i="1"/>
  <c r="I65" i="1" l="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s="1"/>
  <c r="K79" i="1"/>
  <c r="K77" i="1"/>
  <c r="I102" i="1"/>
  <c r="J103" i="1"/>
  <c r="G174" i="1"/>
  <c r="H175" i="1"/>
  <c r="J174" i="1"/>
  <c r="J173" i="1" s="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l="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l="1"/>
  <c r="H101" i="1"/>
  <c r="E103" i="1"/>
  <c r="E101" i="1"/>
  <c r="E174" i="1"/>
  <c r="F175" i="1"/>
  <c r="F173" i="1"/>
  <c r="I175" i="1"/>
  <c r="I173" i="1"/>
  <c r="H78" i="1"/>
  <c r="I79" i="1"/>
  <c r="I77" i="1"/>
  <c r="G150" i="1"/>
  <c r="H151" i="1"/>
  <c r="H149" i="1"/>
  <c r="B169" i="1"/>
  <c r="C168" i="1"/>
  <c r="B145" i="1"/>
  <c r="C144" i="1"/>
  <c r="C120" i="1"/>
  <c r="B121" i="1"/>
  <c r="C96" i="1"/>
  <c r="B73" i="1"/>
  <c r="C72" i="1"/>
  <c r="B97" i="1"/>
  <c r="F150" i="1" l="1"/>
  <c r="G151" i="1"/>
  <c r="G149" i="1"/>
  <c r="E175" i="1"/>
  <c r="E173" i="1"/>
  <c r="G78" i="1"/>
  <c r="H79" i="1"/>
  <c r="H77" i="1"/>
  <c r="C169" i="1"/>
  <c r="B170" i="1"/>
  <c r="B146" i="1"/>
  <c r="C145" i="1"/>
  <c r="C121" i="1"/>
  <c r="B122" i="1"/>
  <c r="B98" i="1"/>
  <c r="C97" i="1"/>
  <c r="C73" i="1"/>
  <c r="B74" i="1"/>
  <c r="E150" i="1" l="1"/>
  <c r="F151" i="1"/>
  <c r="F149" i="1"/>
  <c r="F78" i="1"/>
  <c r="G79" i="1"/>
  <c r="G77" i="1"/>
  <c r="C170" i="1"/>
  <c r="B171" i="1"/>
  <c r="B147" i="1"/>
  <c r="C146" i="1"/>
  <c r="B123" i="1"/>
  <c r="C122" i="1"/>
  <c r="B99" i="1"/>
  <c r="C98" i="1"/>
  <c r="B75" i="1"/>
  <c r="C74" i="1"/>
  <c r="E151" i="1" l="1"/>
  <c r="E149" i="1"/>
  <c r="E78" i="1"/>
  <c r="F79" i="1"/>
  <c r="F77" i="1"/>
  <c r="B172" i="1"/>
  <c r="C171" i="1"/>
  <c r="B148" i="1"/>
  <c r="C147" i="1"/>
  <c r="C123" i="1"/>
  <c r="B124" i="1"/>
  <c r="B100" i="1"/>
  <c r="C99" i="1"/>
  <c r="C75" i="1"/>
  <c r="B76" i="1"/>
  <c r="E79" i="1" l="1"/>
  <c r="E77" i="1"/>
  <c r="B173" i="1"/>
  <c r="C172" i="1"/>
  <c r="B149" i="1"/>
  <c r="C148" i="1"/>
  <c r="C124" i="1"/>
  <c r="B125" i="1"/>
  <c r="C100" i="1"/>
  <c r="B101" i="1"/>
  <c r="C76" i="1"/>
  <c r="B77" i="1"/>
  <c r="B126" i="1" s="1"/>
  <c r="B174" i="1" l="1"/>
  <c r="C173" i="1"/>
  <c r="B150" i="1"/>
  <c r="C149" i="1"/>
  <c r="C125" i="1"/>
  <c r="B102" i="1"/>
  <c r="C101" i="1"/>
  <c r="C77" i="1"/>
  <c r="B78" i="1"/>
  <c r="B127" i="1" s="1"/>
  <c r="B151" i="1" l="1"/>
  <c r="B175" i="1"/>
  <c r="B103" i="1"/>
  <c r="B79" i="1"/>
  <c r="B128" i="1" s="1"/>
  <c r="C174" i="1"/>
  <c r="C150" i="1"/>
  <c r="C126" i="1"/>
  <c r="C102" i="1"/>
  <c r="C78" i="1"/>
  <c r="B152" i="1" l="1"/>
  <c r="B104" i="1"/>
  <c r="B80" i="1"/>
  <c r="B176" i="1"/>
  <c r="C79" i="1"/>
  <c r="C103" i="1"/>
  <c r="C151" i="1"/>
  <c r="C175" i="1"/>
  <c r="C127" i="1"/>
  <c r="B177" i="1" l="1"/>
  <c r="B129" i="1"/>
  <c r="B153" i="1"/>
  <c r="B105" i="1"/>
  <c r="B81" i="1"/>
  <c r="C80" i="1"/>
  <c r="C104" i="1"/>
  <c r="C152" i="1"/>
  <c r="C176" i="1"/>
  <c r="C128" i="1"/>
  <c r="B82" i="1" l="1"/>
  <c r="B155" i="1" s="1"/>
  <c r="C153" i="1"/>
  <c r="B154" i="1"/>
  <c r="B106" i="1"/>
  <c r="C105" i="1"/>
  <c r="B178" i="1"/>
  <c r="B130" i="1"/>
  <c r="C81" i="1"/>
  <c r="C129" i="1"/>
  <c r="C177" i="1"/>
  <c r="B179" i="1" l="1"/>
  <c r="B131" i="1"/>
  <c r="B83" i="1"/>
  <c r="B107" i="1"/>
  <c r="C178" i="1"/>
  <c r="C154" i="1"/>
  <c r="C130" i="1"/>
  <c r="C106" i="1"/>
  <c r="C82" i="1"/>
  <c r="B156" i="1" l="1"/>
  <c r="C155" i="1"/>
  <c r="C131" i="1"/>
  <c r="B132" i="1"/>
  <c r="J47" i="1" s="1" a="1"/>
  <c r="J47" i="1" s="1"/>
  <c r="J49" i="1" s="1"/>
  <c r="J20" i="1" s="1"/>
  <c r="C83" i="1"/>
  <c r="B84" i="1"/>
  <c r="E45" i="1" s="1" a="1"/>
  <c r="E45" i="1" s="1"/>
  <c r="B180" i="1"/>
  <c r="E50" i="1" s="1" a="1"/>
  <c r="E50" i="1" s="1"/>
  <c r="E21" i="1" s="1"/>
  <c r="C179" i="1"/>
  <c r="C107" i="1"/>
  <c r="B108" i="1"/>
  <c r="K47" i="1" l="1" a="1"/>
  <c r="K47" i="1" s="1"/>
  <c r="K49" i="1" s="1"/>
  <c r="K20" i="1" s="1"/>
  <c r="F45" i="1" a="1"/>
  <c r="F45" i="1" s="1"/>
  <c r="F16" i="1" s="1"/>
  <c r="K45" i="1" a="1"/>
  <c r="K45" i="1" s="1"/>
  <c r="K16" i="1" s="1"/>
  <c r="J45" i="1" a="1"/>
  <c r="J45" i="1" s="1"/>
  <c r="J16" i="1" s="1"/>
  <c r="C132" i="1"/>
  <c r="K57" i="1" s="1" a="1"/>
  <c r="K57" i="1" s="1"/>
  <c r="C156" i="1"/>
  <c r="J48" i="1" a="1"/>
  <c r="J48" i="1" s="1"/>
  <c r="J19" i="1" s="1"/>
  <c r="F48" i="1" a="1"/>
  <c r="F48" i="1" s="1"/>
  <c r="F19" i="1" s="1"/>
  <c r="K48" i="1" a="1"/>
  <c r="K48" i="1" s="1"/>
  <c r="K19" i="1" s="1"/>
  <c r="I48" i="1" a="1"/>
  <c r="I48" i="1" s="1"/>
  <c r="I19" i="1" s="1"/>
  <c r="G48" i="1" a="1"/>
  <c r="G48" i="1" s="1"/>
  <c r="G19" i="1" s="1"/>
  <c r="E48" i="1" a="1"/>
  <c r="E48" i="1" s="1"/>
  <c r="E19" i="1" s="1"/>
  <c r="H48" i="1" a="1"/>
  <c r="H48" i="1" s="1"/>
  <c r="H19" i="1" s="1"/>
  <c r="L48" i="1" a="1"/>
  <c r="L48" i="1" s="1"/>
  <c r="L19" i="1" s="1"/>
  <c r="G45" i="1" a="1"/>
  <c r="G45" i="1" s="1"/>
  <c r="G16" i="1" s="1"/>
  <c r="C108" i="1"/>
  <c r="K56" i="1" s="1" a="1"/>
  <c r="K56" i="1" s="1"/>
  <c r="I45" i="1" a="1"/>
  <c r="I45" i="1" s="1"/>
  <c r="I16" i="1" s="1"/>
  <c r="E16" i="1"/>
  <c r="E47" i="1" a="1"/>
  <c r="E47" i="1" s="1"/>
  <c r="H47" i="1" a="1"/>
  <c r="H47" i="1" s="1"/>
  <c r="I47" i="1" a="1"/>
  <c r="I47" i="1" s="1"/>
  <c r="J44" i="1"/>
  <c r="J15" i="1" s="1"/>
  <c r="J18" i="1"/>
  <c r="I31" i="1" s="1"/>
  <c r="L45" i="1" a="1"/>
  <c r="L45" i="1" s="1"/>
  <c r="L16" i="1" s="1"/>
  <c r="C84" i="1"/>
  <c r="L55" i="1" s="1" a="1"/>
  <c r="L55" i="1" s="1"/>
  <c r="F47" i="1" a="1"/>
  <c r="F47" i="1" s="1"/>
  <c r="G47" i="1" a="1"/>
  <c r="G47" i="1" s="1"/>
  <c r="L47" i="1" a="1"/>
  <c r="L47" i="1" s="1"/>
  <c r="G55" i="1" a="1"/>
  <c r="G55" i="1" s="1"/>
  <c r="G27" i="1" s="1"/>
  <c r="K50" i="1" a="1"/>
  <c r="K50" i="1" s="1"/>
  <c r="K21" i="1" s="1"/>
  <c r="I50" i="1" a="1"/>
  <c r="I50" i="1" s="1"/>
  <c r="I21" i="1" s="1"/>
  <c r="H50" i="1" a="1"/>
  <c r="H50" i="1" s="1"/>
  <c r="H21" i="1" s="1"/>
  <c r="G50" i="1" a="1"/>
  <c r="G50" i="1" s="1"/>
  <c r="G21" i="1" s="1"/>
  <c r="L50" i="1" a="1"/>
  <c r="L50" i="1" s="1"/>
  <c r="L21" i="1" s="1"/>
  <c r="F50" i="1" a="1"/>
  <c r="F50" i="1" s="1"/>
  <c r="F21" i="1" s="1"/>
  <c r="J50" i="1" a="1"/>
  <c r="J50" i="1" s="1"/>
  <c r="J21" i="1" s="1"/>
  <c r="H45" i="1" a="1"/>
  <c r="H45" i="1" s="1"/>
  <c r="H16" i="1" s="1"/>
  <c r="C180" i="1"/>
  <c r="G60" i="1" s="1" a="1"/>
  <c r="G60" i="1" s="1"/>
  <c r="G33" i="1" s="1"/>
  <c r="F46" i="1" a="1"/>
  <c r="F46" i="1" s="1"/>
  <c r="F17" i="1" s="1"/>
  <c r="J46" i="1" a="1"/>
  <c r="J46" i="1" s="1"/>
  <c r="J17" i="1" s="1"/>
  <c r="L46" i="1" a="1"/>
  <c r="L46" i="1" s="1"/>
  <c r="L17" i="1" s="1"/>
  <c r="I46" i="1" a="1"/>
  <c r="I46" i="1" s="1"/>
  <c r="I17" i="1" s="1"/>
  <c r="K46" i="1" a="1"/>
  <c r="K46" i="1" s="1"/>
  <c r="K17" i="1" s="1"/>
  <c r="E46" i="1" a="1"/>
  <c r="E46" i="1" s="1"/>
  <c r="E17" i="1" s="1"/>
  <c r="G46" i="1" a="1"/>
  <c r="G46" i="1" s="1"/>
  <c r="G17" i="1" s="1"/>
  <c r="H46" i="1" a="1"/>
  <c r="H46" i="1" s="1"/>
  <c r="H17" i="1" s="1"/>
  <c r="H31" i="1"/>
  <c r="E31" i="1"/>
  <c r="F31" i="1"/>
  <c r="L56" i="1" l="1" a="1"/>
  <c r="L56" i="1" s="1"/>
  <c r="J28" i="1" s="1"/>
  <c r="K18" i="1"/>
  <c r="J31" i="1" s="1"/>
  <c r="K44" i="1"/>
  <c r="K15" i="1" s="1"/>
  <c r="H56" i="1" a="1"/>
  <c r="H56" i="1" s="1"/>
  <c r="E56" i="1" a="1"/>
  <c r="E56" i="1" s="1"/>
  <c r="E28" i="1" s="1"/>
  <c r="I56" i="1" a="1"/>
  <c r="I56" i="1" s="1"/>
  <c r="H57" i="1" a="1"/>
  <c r="H57" i="1" s="1"/>
  <c r="H54" i="1" s="1"/>
  <c r="J56" i="1" a="1"/>
  <c r="J56" i="1" s="1"/>
  <c r="I28" i="1" s="1"/>
  <c r="G56" i="1" a="1"/>
  <c r="G56" i="1" s="1"/>
  <c r="G28" i="1" s="1"/>
  <c r="F57" i="1" a="1"/>
  <c r="F57" i="1" s="1"/>
  <c r="F59" i="1" s="1"/>
  <c r="J57" i="1" a="1"/>
  <c r="J57" i="1" s="1"/>
  <c r="I29" i="1" s="1"/>
  <c r="F56" i="1" a="1"/>
  <c r="F56" i="1" s="1"/>
  <c r="E57" i="1" a="1"/>
  <c r="E57" i="1" s="1"/>
  <c r="K54" i="1"/>
  <c r="K59" i="1"/>
  <c r="H58" i="1" a="1"/>
  <c r="H58" i="1" s="1"/>
  <c r="J58" i="1" a="1"/>
  <c r="J58" i="1" s="1"/>
  <c r="I30" i="1" s="1"/>
  <c r="F58" i="1" a="1"/>
  <c r="F58" i="1" s="1"/>
  <c r="L58" i="1" a="1"/>
  <c r="L58" i="1" s="1"/>
  <c r="G58" i="1" a="1"/>
  <c r="G58" i="1" s="1"/>
  <c r="G30" i="1" s="1"/>
  <c r="E58" i="1" a="1"/>
  <c r="E58" i="1" s="1"/>
  <c r="K58" i="1" a="1"/>
  <c r="K58" i="1" s="1"/>
  <c r="I58" i="1" a="1"/>
  <c r="I58" i="1" s="1"/>
  <c r="G57" i="1" a="1"/>
  <c r="G57" i="1" s="1"/>
  <c r="I57" i="1" a="1"/>
  <c r="I57" i="1" s="1"/>
  <c r="L57" i="1" a="1"/>
  <c r="L57" i="1" s="1"/>
  <c r="E60" i="1" a="1"/>
  <c r="E60" i="1" s="1"/>
  <c r="H60" i="1" a="1"/>
  <c r="H60" i="1" s="1"/>
  <c r="K55" i="1" a="1"/>
  <c r="K55" i="1" s="1"/>
  <c r="J27" i="1" s="1"/>
  <c r="I55" i="1" a="1"/>
  <c r="I55" i="1" s="1"/>
  <c r="F55" i="1" a="1"/>
  <c r="F55" i="1" s="1"/>
  <c r="E49" i="1"/>
  <c r="E20" i="1" s="1"/>
  <c r="E18" i="1"/>
  <c r="E44" i="1"/>
  <c r="E15" i="1" s="1"/>
  <c r="J55" i="1" a="1"/>
  <c r="J55" i="1" s="1"/>
  <c r="I27" i="1" s="1"/>
  <c r="L49" i="1"/>
  <c r="L20" i="1" s="1"/>
  <c r="L18" i="1"/>
  <c r="L44" i="1"/>
  <c r="L15" i="1" s="1"/>
  <c r="G49" i="1"/>
  <c r="G20" i="1" s="1"/>
  <c r="G18" i="1"/>
  <c r="G31" i="1" s="1"/>
  <c r="G44" i="1"/>
  <c r="G15" i="1" s="1"/>
  <c r="I49" i="1"/>
  <c r="I20" i="1" s="1"/>
  <c r="I18" i="1"/>
  <c r="I44" i="1"/>
  <c r="I15" i="1" s="1"/>
  <c r="H55" i="1" a="1"/>
  <c r="H55" i="1" s="1"/>
  <c r="F49" i="1"/>
  <c r="F20" i="1" s="1"/>
  <c r="F18" i="1"/>
  <c r="F44" i="1"/>
  <c r="F15" i="1" s="1"/>
  <c r="H49" i="1"/>
  <c r="H20" i="1" s="1"/>
  <c r="H18" i="1"/>
  <c r="H44" i="1"/>
  <c r="H15" i="1" s="1"/>
  <c r="E55" i="1" a="1"/>
  <c r="E55" i="1" s="1"/>
  <c r="I60" i="1" a="1"/>
  <c r="I60" i="1" s="1"/>
  <c r="L60" i="1" a="1"/>
  <c r="L60" i="1" s="1"/>
  <c r="J60" i="1" a="1"/>
  <c r="J60" i="1" s="1"/>
  <c r="I33" i="1" s="1"/>
  <c r="F60" i="1" a="1"/>
  <c r="F60" i="1" s="1"/>
  <c r="K60" i="1" a="1"/>
  <c r="K60" i="1" s="1"/>
  <c r="H28" i="1" l="1"/>
  <c r="F28" i="1"/>
  <c r="H29" i="1"/>
  <c r="H59" i="1"/>
  <c r="F29" i="1"/>
  <c r="F54" i="1"/>
  <c r="J59" i="1"/>
  <c r="E59" i="1"/>
  <c r="E54" i="1"/>
  <c r="E29" i="1"/>
  <c r="J54" i="1"/>
  <c r="H30" i="1"/>
  <c r="G29" i="1"/>
  <c r="G54" i="1"/>
  <c r="G26" i="1" s="1"/>
  <c r="G59" i="1"/>
  <c r="G32" i="1" s="1"/>
  <c r="E30" i="1"/>
  <c r="F30" i="1"/>
  <c r="L54" i="1"/>
  <c r="J26" i="1" s="1"/>
  <c r="L59" i="1"/>
  <c r="J32" i="1" s="1"/>
  <c r="J29" i="1"/>
  <c r="I54" i="1"/>
  <c r="I59" i="1"/>
  <c r="J30" i="1"/>
  <c r="H33" i="1"/>
  <c r="H27" i="1"/>
  <c r="E33" i="1"/>
  <c r="F33" i="1"/>
  <c r="E27" i="1"/>
  <c r="F27" i="1"/>
  <c r="J33" i="1"/>
  <c r="E32" i="1" l="1"/>
  <c r="F32" i="1"/>
  <c r="E26" i="1"/>
  <c r="F26" i="1"/>
  <c r="H32" i="1"/>
  <c r="I32" i="1"/>
  <c r="H26" i="1"/>
  <c r="I26" i="1"/>
</calcChain>
</file>

<file path=xl/comments1.xml><?xml version="1.0" encoding="utf-8"?>
<comments xmlns="http://schemas.openxmlformats.org/spreadsheetml/2006/main">
  <authors>
    <author>DORSEY</author>
    <author>cdorsey</author>
    <author>TDHCA</author>
    <author>snaquin</author>
    <author>wquacken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text>
        <r>
          <rPr>
            <b/>
            <sz val="8"/>
            <color indexed="81"/>
            <rFont val="Tahoma"/>
            <family val="2"/>
          </rPr>
          <t>cdorsey:</t>
        </r>
        <r>
          <rPr>
            <sz val="8"/>
            <color indexed="81"/>
            <rFont val="Tahoma"/>
            <family val="2"/>
          </rPr>
          <t xml:space="preserve">
2013 National Non-Metro</t>
        </r>
      </text>
    </comment>
    <comment ref="S194" authorId="2" shapeId="0">
      <text>
        <r>
          <rPr>
            <b/>
            <sz val="8"/>
            <color indexed="81"/>
            <rFont val="Tahoma"/>
            <family val="2"/>
          </rPr>
          <t>TDHCA:</t>
        </r>
        <r>
          <rPr>
            <sz val="8"/>
            <color indexed="81"/>
            <rFont val="Tahoma"/>
            <family val="2"/>
          </rPr>
          <t xml:space="preserve">
AMI FY2014</t>
        </r>
      </text>
    </comment>
    <comment ref="AL194" authorId="2" shapeId="0">
      <text>
        <r>
          <rPr>
            <b/>
            <sz val="8"/>
            <color indexed="81"/>
            <rFont val="Tahoma"/>
            <family val="2"/>
          </rPr>
          <t>TDHCA:</t>
        </r>
        <r>
          <rPr>
            <sz val="8"/>
            <color indexed="81"/>
            <rFont val="Tahoma"/>
            <family val="2"/>
          </rPr>
          <t xml:space="preserve">
2014 National Non-metro</t>
        </r>
      </text>
    </comment>
    <comment ref="S196" authorId="2" shapeId="0">
      <text>
        <r>
          <rPr>
            <b/>
            <sz val="8"/>
            <color indexed="81"/>
            <rFont val="Tahoma"/>
            <family val="2"/>
          </rPr>
          <t>TDHCA:</t>
        </r>
        <r>
          <rPr>
            <sz val="8"/>
            <color indexed="81"/>
            <rFont val="Tahoma"/>
            <family val="2"/>
          </rPr>
          <t xml:space="preserve">
AMI FY2015</t>
        </r>
      </text>
    </comment>
    <comment ref="AL196" authorId="3" shapeId="0">
      <text>
        <r>
          <rPr>
            <b/>
            <sz val="9"/>
            <color indexed="81"/>
            <rFont val="Tahoma"/>
            <family val="2"/>
          </rPr>
          <t>snaquin:</t>
        </r>
        <r>
          <rPr>
            <sz val="9"/>
            <color indexed="81"/>
            <rFont val="Tahoma"/>
            <family val="2"/>
          </rPr>
          <t xml:space="preserve">
2015 National Non-metro</t>
        </r>
      </text>
    </comment>
    <comment ref="S198" authorId="2" shapeId="0">
      <text>
        <r>
          <rPr>
            <b/>
            <sz val="8"/>
            <color indexed="81"/>
            <rFont val="Tahoma"/>
            <family val="2"/>
          </rPr>
          <t>TDHCA:</t>
        </r>
        <r>
          <rPr>
            <sz val="8"/>
            <color indexed="81"/>
            <rFont val="Tahoma"/>
            <family val="2"/>
          </rPr>
          <t xml:space="preserve">
AMI FY2016</t>
        </r>
      </text>
    </comment>
    <comment ref="AL198" authorId="3" shapeId="0">
      <text>
        <r>
          <rPr>
            <b/>
            <sz val="9"/>
            <color indexed="81"/>
            <rFont val="Tahoma"/>
            <family val="2"/>
          </rPr>
          <t>snaquin:</t>
        </r>
        <r>
          <rPr>
            <sz val="9"/>
            <color indexed="81"/>
            <rFont val="Tahoma"/>
            <family val="2"/>
          </rPr>
          <t xml:space="preserve">
2016 National Non-metro</t>
        </r>
      </text>
    </comment>
    <comment ref="S200" authorId="3" shapeId="0">
      <text>
        <r>
          <rPr>
            <b/>
            <sz val="9"/>
            <color indexed="81"/>
            <rFont val="Tahoma"/>
            <family val="2"/>
          </rPr>
          <t>snaquin:</t>
        </r>
        <r>
          <rPr>
            <sz val="9"/>
            <color indexed="81"/>
            <rFont val="Tahoma"/>
            <family val="2"/>
          </rPr>
          <t xml:space="preserve">
2017 AMI</t>
        </r>
      </text>
    </comment>
    <comment ref="AL200" authorId="3" shapeId="0">
      <text>
        <r>
          <rPr>
            <b/>
            <sz val="9"/>
            <color indexed="81"/>
            <rFont val="Tahoma"/>
            <family val="2"/>
          </rPr>
          <t>snaquin:</t>
        </r>
        <r>
          <rPr>
            <sz val="9"/>
            <color indexed="81"/>
            <rFont val="Tahoma"/>
            <family val="2"/>
          </rPr>
          <t xml:space="preserve">
2017 national non metro</t>
        </r>
      </text>
    </comment>
    <comment ref="AL202" authorId="4" shapeId="0">
      <text>
        <r>
          <rPr>
            <b/>
            <sz val="9"/>
            <color indexed="81"/>
            <rFont val="Tahoma"/>
            <family val="2"/>
          </rPr>
          <t>wquacken:</t>
        </r>
        <r>
          <rPr>
            <sz val="9"/>
            <color indexed="81"/>
            <rFont val="Tahoma"/>
            <family val="2"/>
          </rPr>
          <t xml:space="preserve">
2018 National Non-Metro limit</t>
        </r>
      </text>
    </comment>
    <comment ref="AL204" authorId="5" shapeId="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<sst xmlns="http://schemas.openxmlformats.org/spreadsheetml/2006/main" count="39112" uniqueCount="3089">
  <si>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</si>
  <si>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</si>
  <si>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</si>
  <si>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</si>
  <si>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</si>
  <si>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</si>
  <si>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</si>
  <si>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</si>
  <si>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</si>
  <si>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</si>
  <si>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</si>
  <si>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</si>
  <si>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</si>
  <si>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</si>
  <si>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</si>
  <si>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</si>
  <si>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</si>
  <si>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</si>
  <si>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</si>
  <si>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</si>
  <si>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</si>
  <si>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</si>
  <si>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</si>
  <si>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</si>
  <si>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</si>
  <si>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</si>
  <si>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</si>
  <si>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</si>
  <si>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</si>
  <si>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</si>
  <si>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</si>
  <si>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</si>
  <si>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</si>
  <si>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</si>
  <si>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</si>
  <si>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</si>
  <si>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</si>
  <si>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</si>
  <si>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</si>
  <si>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</si>
  <si>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</si>
  <si>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</si>
  <si>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</si>
  <si>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</si>
  <si>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</si>
  <si>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</si>
  <si>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</si>
  <si>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</si>
  <si>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</si>
  <si>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</si>
  <si>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</si>
  <si>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</si>
  <si>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</si>
  <si>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</si>
  <si>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</si>
  <si>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</si>
  <si>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</si>
  <si>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</si>
  <si>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</si>
  <si>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</si>
  <si>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</si>
  <si>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</si>
  <si>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</si>
  <si>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</si>
  <si>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</si>
  <si>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</si>
  <si>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</si>
  <si>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</si>
  <si>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</si>
  <si>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</si>
  <si>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</si>
  <si>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</si>
  <si>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</si>
  <si>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</si>
  <si>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</si>
  <si>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</si>
  <si>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</si>
  <si>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</si>
  <si>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</si>
  <si>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</si>
  <si>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</si>
  <si>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</si>
  <si>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</si>
  <si>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</si>
  <si>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</si>
  <si>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</si>
  <si>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</si>
  <si>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</si>
  <si>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</si>
  <si>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</si>
  <si>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</si>
  <si>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</si>
  <si>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</si>
  <si>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</si>
  <si>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</si>
  <si>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</si>
  <si>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</si>
  <si>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</si>
  <si>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</si>
  <si>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</si>
  <si>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</si>
  <si>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</si>
  <si>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</si>
  <si>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</si>
  <si>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</si>
  <si>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</si>
  <si>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</si>
  <si>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</si>
  <si>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</si>
  <si>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</si>
  <si>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</si>
  <si>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</si>
  <si>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</si>
  <si>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</si>
  <si>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</si>
  <si>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</si>
  <si>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</si>
  <si>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</si>
  <si>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</si>
  <si>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</si>
  <si>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</si>
  <si>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</si>
  <si>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</si>
  <si>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</si>
  <si>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</si>
  <si>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</si>
  <si>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</si>
  <si>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</si>
  <si>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</si>
  <si>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</si>
  <si>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</si>
  <si>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</si>
  <si>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</si>
  <si>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</si>
  <si>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</si>
  <si>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</si>
  <si>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</si>
  <si>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</si>
  <si>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</si>
  <si>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</si>
  <si>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</si>
  <si>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</si>
  <si>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</si>
  <si>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</si>
  <si>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</si>
  <si>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</si>
  <si>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</si>
  <si>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</si>
  <si>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</si>
  <si>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</si>
  <si>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</si>
  <si>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</si>
  <si>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</si>
  <si>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</si>
  <si>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</si>
  <si>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</si>
  <si>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</si>
  <si>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</si>
  <si>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</si>
  <si>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</si>
  <si>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</si>
  <si>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</si>
  <si>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</si>
  <si>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</si>
  <si>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</si>
  <si>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</si>
  <si>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</si>
  <si>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</si>
  <si>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</si>
  <si>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</si>
  <si>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</si>
  <si>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</si>
  <si>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</si>
  <si>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</si>
  <si>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</si>
  <si>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</si>
  <si>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</si>
  <si>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</si>
  <si>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</si>
  <si>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</si>
  <si>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</si>
  <si>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</si>
  <si>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</si>
  <si>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</si>
  <si>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</si>
  <si>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</si>
  <si>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</si>
  <si>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</si>
  <si>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</si>
  <si>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</si>
  <si>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</si>
  <si>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</si>
  <si>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</si>
  <si>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</si>
  <si>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</si>
  <si>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</si>
  <si>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</si>
  <si>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</si>
  <si>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</si>
  <si>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</si>
  <si>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</si>
  <si>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</si>
  <si>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</si>
  <si>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</si>
  <si>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</si>
  <si>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</si>
  <si>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</si>
  <si>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</si>
  <si>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</si>
  <si>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</si>
  <si>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</si>
  <si>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</si>
  <si>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</si>
  <si>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</si>
  <si>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</si>
  <si>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</si>
  <si>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</si>
  <si>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</si>
  <si>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</si>
  <si>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</si>
  <si>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</si>
  <si>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</si>
  <si>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</si>
  <si>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</si>
  <si>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</si>
  <si>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</si>
  <si>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</si>
  <si>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</si>
  <si>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</si>
  <si>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</si>
  <si>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</si>
  <si>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</si>
  <si>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</si>
  <si>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</si>
  <si>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</si>
  <si>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</si>
  <si>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</si>
  <si>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</si>
  <si>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</si>
  <si>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</si>
  <si>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</si>
  <si>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</si>
  <si>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</si>
  <si>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</si>
  <si>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</si>
  <si>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</si>
  <si>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</si>
  <si>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</si>
  <si>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</si>
  <si>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</si>
  <si>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</si>
  <si>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</si>
  <si>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</si>
  <si>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</si>
  <si>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</si>
  <si>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</si>
  <si>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</si>
  <si>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</si>
  <si>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</si>
  <si>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</si>
  <si>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</si>
  <si>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</si>
  <si>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</si>
  <si>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</si>
  <si>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</si>
  <si>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</si>
  <si>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</si>
  <si>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</si>
  <si>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</si>
  <si>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</si>
  <si>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</si>
  <si>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</si>
  <si>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</si>
  <si>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</si>
  <si>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</si>
  <si>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</si>
  <si>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</si>
  <si>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</si>
  <si>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</si>
  <si>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</si>
  <si>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</si>
  <si>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</si>
  <si>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</si>
  <si>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</si>
  <si>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</si>
  <si>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</si>
  <si>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</si>
  <si>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</si>
  <si>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</si>
  <si>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</si>
  <si>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</si>
  <si>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</si>
  <si>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</si>
  <si>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</si>
  <si>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</si>
  <si>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</si>
  <si>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</si>
  <si>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</si>
  <si>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</si>
  <si>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</si>
  <si>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</si>
  <si>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</si>
  <si>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</si>
  <si>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</si>
  <si>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</si>
  <si>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</si>
  <si>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</si>
  <si>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</si>
  <si>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</si>
  <si>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</si>
  <si>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</si>
  <si>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</si>
  <si>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</si>
  <si>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</si>
  <si>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</si>
  <si>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</si>
  <si>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</si>
  <si>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</si>
  <si>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</si>
  <si>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</si>
  <si>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</si>
  <si>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</si>
  <si>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</si>
  <si>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</si>
  <si>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</si>
  <si>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</si>
  <si>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</si>
  <si>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</si>
  <si>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</si>
  <si>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</si>
  <si>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</si>
  <si>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</si>
  <si>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</si>
  <si>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</si>
  <si>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</si>
  <si>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</si>
  <si>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</si>
  <si>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</si>
  <si>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</si>
  <si>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</si>
  <si>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</si>
  <si>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</si>
  <si>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</si>
  <si>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</si>
  <si>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</si>
  <si>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</si>
  <si>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</si>
  <si>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</si>
  <si>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</si>
  <si>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</si>
  <si>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</si>
  <si>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</si>
  <si>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</si>
  <si>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</si>
  <si>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</si>
  <si>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</si>
  <si>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</si>
  <si>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</si>
  <si>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</si>
  <si>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</si>
  <si>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</si>
  <si>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</si>
  <si>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</si>
  <si>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</si>
  <si>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</si>
  <si>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</si>
  <si>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</si>
  <si>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</si>
  <si>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</si>
  <si>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</si>
  <si>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</si>
  <si>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</si>
  <si>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</si>
  <si>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</si>
  <si>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</si>
  <si>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</si>
  <si>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</si>
  <si>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</si>
  <si>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</si>
  <si>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</si>
  <si>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</si>
  <si>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</si>
  <si>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</si>
  <si>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</si>
  <si>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</si>
  <si>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</si>
  <si>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</si>
  <si>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</si>
  <si>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</si>
  <si>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</si>
  <si>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</si>
  <si>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</si>
  <si>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</si>
  <si>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</si>
  <si>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</si>
  <si>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</si>
  <si>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</si>
  <si>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</si>
  <si>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</si>
  <si>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</si>
  <si>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</si>
  <si>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</si>
  <si>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</si>
  <si>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</si>
  <si>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</si>
  <si>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</si>
  <si>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</si>
  <si>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</si>
  <si>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</si>
  <si>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</si>
  <si>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</si>
  <si>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</si>
  <si>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</si>
  <si>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</si>
  <si>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</si>
  <si>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</si>
  <si>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</si>
  <si>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</si>
  <si>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</si>
  <si>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</si>
  <si>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</si>
  <si>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</si>
  <si>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</si>
  <si>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</si>
  <si>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</si>
  <si>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</si>
  <si>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</si>
  <si>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</si>
  <si>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</si>
  <si>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</si>
  <si>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</si>
  <si>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</si>
  <si>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</si>
  <si>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</si>
  <si>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</si>
  <si>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</si>
  <si>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</si>
  <si>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</si>
  <si>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</si>
  <si>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</si>
  <si>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</si>
  <si>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</si>
  <si>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</si>
  <si>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</si>
  <si>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</si>
  <si>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</si>
  <si>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</si>
  <si>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</si>
  <si>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</si>
  <si>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</si>
  <si>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</si>
  <si>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</si>
  <si>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</si>
  <si>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</si>
  <si>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</si>
  <si>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</si>
  <si>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</si>
  <si>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</si>
  <si>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</si>
  <si>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</si>
  <si>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</si>
  <si>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</si>
  <si>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</si>
  <si>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</si>
  <si>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</si>
  <si>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</si>
  <si>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</si>
  <si>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</si>
  <si>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</si>
  <si>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</si>
  <si>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</si>
  <si>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</si>
  <si>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</si>
  <si>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</si>
  <si>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</si>
  <si>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</si>
  <si>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</si>
  <si>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</si>
  <si>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</si>
  <si>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</si>
  <si>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</si>
  <si>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</si>
  <si>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</si>
  <si>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</si>
  <si>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</si>
  <si>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</si>
  <si>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</si>
  <si>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</si>
  <si>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</si>
  <si>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</si>
  <si>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</si>
  <si>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</si>
  <si>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</si>
  <si>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</si>
  <si>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</si>
  <si>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</si>
  <si>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</si>
  <si>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</si>
  <si>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</si>
  <si>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</si>
  <si>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</si>
  <si>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</si>
  <si>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</si>
  <si>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</si>
  <si>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</si>
  <si>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</si>
  <si>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</si>
  <si>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</si>
  <si>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</si>
  <si>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</si>
  <si>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</si>
  <si>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</si>
  <si>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</si>
  <si>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</si>
  <si>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</si>
  <si>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</si>
  <si>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</si>
  <si>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</si>
  <si>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</si>
  <si>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</si>
  <si>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</si>
  <si>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</si>
  <si>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</si>
  <si>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</si>
  <si>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</si>
  <si>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</si>
  <si>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</si>
  <si>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</si>
  <si>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</si>
  <si>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</si>
  <si>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</si>
  <si>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</si>
  <si>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</si>
  <si>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</si>
  <si>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</si>
  <si>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</si>
  <si>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</si>
  <si>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</si>
  <si>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</si>
  <si>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</si>
  <si>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</si>
  <si>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</si>
  <si>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</si>
  <si>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</si>
  <si>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</si>
  <si>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</si>
  <si>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</si>
  <si>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</si>
  <si>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</si>
  <si>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</si>
  <si>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</si>
  <si>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</si>
  <si>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</si>
  <si>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</si>
  <si>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</si>
  <si>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</si>
  <si>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</si>
  <si>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</si>
  <si>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</si>
  <si>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</si>
  <si>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</si>
  <si>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</si>
  <si>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</si>
  <si>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</si>
  <si>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</si>
  <si>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</si>
  <si>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</si>
  <si>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</si>
  <si>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</si>
  <si>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</si>
  <si>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</si>
  <si>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</si>
  <si>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</si>
  <si>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</si>
  <si>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</si>
  <si>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</si>
  <si>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</si>
  <si>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</si>
  <si>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</si>
  <si>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</si>
  <si>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</si>
  <si>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</si>
  <si>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</si>
  <si>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</si>
  <si>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</si>
  <si>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</si>
  <si>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</si>
  <si>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</si>
  <si>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</si>
  <si>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</si>
  <si>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</si>
  <si>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</si>
  <si>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</si>
  <si>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</si>
  <si>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</si>
  <si>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</si>
  <si>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</si>
  <si>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</si>
  <si>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</si>
  <si>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</si>
  <si>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</si>
  <si>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</si>
  <si>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</si>
  <si>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</si>
  <si>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</si>
  <si>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</si>
  <si>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</si>
  <si>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</si>
  <si>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</si>
  <si>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</si>
  <si>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</si>
  <si>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</si>
  <si>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</si>
  <si>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</si>
  <si>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</si>
  <si>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</si>
  <si>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</si>
  <si>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</si>
  <si>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</si>
  <si>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</si>
  <si>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</si>
  <si>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</si>
  <si>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</si>
  <si>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</si>
  <si>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</si>
  <si>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</si>
  <si>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</si>
  <si>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</si>
  <si>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</si>
  <si>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</si>
  <si>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</si>
  <si>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</si>
  <si>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</si>
  <si>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</si>
  <si>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</si>
  <si>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</si>
  <si>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</si>
  <si>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</si>
  <si>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</si>
  <si>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</si>
  <si>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</si>
  <si>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</si>
  <si>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</si>
  <si>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</si>
  <si>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</si>
  <si>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</si>
  <si>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</si>
  <si>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</si>
  <si>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</si>
  <si>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</si>
  <si>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</si>
  <si>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</si>
  <si>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</si>
  <si>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</si>
  <si>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</si>
  <si>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</si>
  <si>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</si>
  <si>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</si>
  <si>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</si>
  <si>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</si>
  <si>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</si>
  <si>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</si>
  <si>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</si>
  <si>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</si>
  <si>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</si>
  <si>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</si>
  <si>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</si>
  <si>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</si>
  <si>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</si>
  <si>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</si>
  <si>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</si>
  <si>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</si>
  <si>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</si>
  <si>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</si>
  <si>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</si>
  <si>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</si>
  <si>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</si>
  <si>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</si>
  <si>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</si>
  <si>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</si>
  <si>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</si>
  <si>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</si>
  <si>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</si>
  <si>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</si>
  <si>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</si>
  <si>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</si>
  <si>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</si>
  <si>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</si>
  <si>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</si>
  <si>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</si>
  <si>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</si>
  <si>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</si>
  <si>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</si>
  <si>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</si>
  <si>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</si>
  <si>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</si>
  <si>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</si>
  <si>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</si>
  <si>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</si>
  <si>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</si>
  <si>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</si>
  <si>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</si>
  <si>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</si>
  <si>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</si>
  <si>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</si>
  <si>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</si>
  <si>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</si>
  <si>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</si>
  <si>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</si>
  <si>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</si>
  <si>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</si>
  <si>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</si>
  <si>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</si>
  <si>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</si>
  <si>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</si>
  <si>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</si>
  <si>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</si>
  <si>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</si>
  <si>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</si>
  <si>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</si>
  <si>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</si>
  <si>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</si>
  <si>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</si>
  <si>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</si>
  <si>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</si>
  <si>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</si>
  <si>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</si>
  <si>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</si>
  <si>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</si>
  <si>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</si>
  <si>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</si>
  <si>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</si>
  <si>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</si>
  <si>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</si>
  <si>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</si>
  <si>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</si>
  <si>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</si>
  <si>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</si>
  <si>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</si>
  <si>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</si>
  <si>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</si>
  <si>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</si>
  <si>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</si>
  <si>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</si>
  <si>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</si>
  <si>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</si>
  <si>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</si>
  <si>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</si>
  <si>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</si>
  <si>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</si>
  <si>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</si>
  <si>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</si>
  <si>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</si>
  <si>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</si>
  <si>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</si>
  <si>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</si>
  <si>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</si>
  <si>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</si>
  <si>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</si>
  <si>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</si>
  <si>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</si>
  <si>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</si>
  <si>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</si>
  <si>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</si>
  <si>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</si>
  <si>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</si>
  <si>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</si>
  <si>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</si>
  <si>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</si>
  <si>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</si>
  <si>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</si>
  <si>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</si>
  <si>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</si>
  <si>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</si>
  <si>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</si>
  <si>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</si>
  <si>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</si>
  <si>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</si>
  <si>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</si>
  <si>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</si>
  <si>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</si>
  <si>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</si>
  <si>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</si>
  <si>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</si>
  <si>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</si>
  <si>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</si>
  <si>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</si>
  <si>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</si>
  <si>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</si>
  <si>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</si>
  <si>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</si>
  <si>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</si>
  <si>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</si>
  <si>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</si>
  <si>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</si>
  <si>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</si>
  <si>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</si>
  <si>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</si>
  <si>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</si>
  <si>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</si>
  <si>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</si>
  <si>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</si>
  <si>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</si>
  <si>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</si>
  <si>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</si>
  <si>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</si>
  <si>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</si>
  <si>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</si>
  <si>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</si>
  <si>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</si>
  <si>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</si>
  <si>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</si>
  <si>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</si>
  <si>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</si>
  <si>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</si>
  <si>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</si>
  <si>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</si>
  <si>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</si>
  <si>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</si>
  <si>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</si>
  <si>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</si>
  <si>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</si>
  <si>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</si>
  <si>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</si>
  <si>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</si>
  <si>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</si>
  <si>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</si>
  <si>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</si>
  <si>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</si>
  <si>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</si>
  <si>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</si>
  <si>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</si>
  <si>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</si>
  <si>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</si>
  <si>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</si>
  <si>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</si>
  <si>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</si>
  <si>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</si>
  <si>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</si>
  <si>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</si>
  <si>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</si>
  <si>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</si>
  <si>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</si>
  <si>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</si>
  <si>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</si>
  <si>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</si>
  <si>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</si>
  <si>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</si>
  <si>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</si>
  <si>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</si>
  <si>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</si>
  <si>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</si>
  <si>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</si>
  <si>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</si>
  <si>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</si>
  <si>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</si>
  <si>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</si>
  <si>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</si>
  <si>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</si>
  <si>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</si>
  <si>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</si>
  <si>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</si>
  <si>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</si>
  <si>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</si>
  <si>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</si>
  <si>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</si>
  <si>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</si>
  <si>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</si>
  <si>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</si>
  <si>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</si>
  <si>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</si>
  <si>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</si>
  <si>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</si>
  <si>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</si>
  <si>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</si>
  <si>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</si>
  <si>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</si>
  <si>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</si>
  <si>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</si>
  <si>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</si>
  <si>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</si>
  <si>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</si>
  <si>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</si>
  <si>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</si>
  <si>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</si>
  <si>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</si>
  <si>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</si>
  <si>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</si>
  <si>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</si>
  <si>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</si>
  <si>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</si>
  <si>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</si>
  <si>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</si>
  <si>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</si>
  <si>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</si>
  <si>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</si>
  <si>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</si>
  <si>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</si>
  <si>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</si>
  <si>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</si>
  <si>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</si>
  <si>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</si>
  <si>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</si>
  <si>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</si>
  <si>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</si>
  <si>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</si>
  <si>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</si>
  <si>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</si>
  <si>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</si>
  <si>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</si>
  <si>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</si>
  <si>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</si>
  <si>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</si>
  <si>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</si>
  <si>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</si>
  <si>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</si>
  <si>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</si>
  <si>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</si>
  <si>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</si>
  <si>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</si>
  <si>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</si>
  <si>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</si>
  <si>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</si>
  <si>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</si>
  <si>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</si>
  <si>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</si>
  <si>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</si>
  <si>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</si>
  <si>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</si>
  <si>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</si>
  <si>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</si>
  <si>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</si>
  <si>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</si>
  <si>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</si>
  <si>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</si>
  <si>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</si>
  <si>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</si>
  <si>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</si>
  <si>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</si>
  <si>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</si>
  <si>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</si>
  <si>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</si>
  <si>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</si>
  <si>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</si>
  <si>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</si>
  <si>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</si>
  <si>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</si>
  <si>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</si>
  <si>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</si>
  <si>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</si>
  <si>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</si>
  <si>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</si>
  <si>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</si>
  <si>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</si>
  <si>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</si>
  <si>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</si>
  <si>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</si>
  <si>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</si>
  <si>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</si>
  <si>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</si>
  <si>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</si>
  <si>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</si>
  <si>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</si>
  <si>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</si>
  <si>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</si>
  <si>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</si>
  <si>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</si>
  <si>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</si>
  <si>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</si>
  <si>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</si>
  <si>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</si>
  <si>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</si>
  <si>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</si>
  <si>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</si>
  <si>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</si>
  <si>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</si>
  <si>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</si>
  <si>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</si>
  <si>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</si>
  <si>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</si>
  <si>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</si>
  <si>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</si>
  <si>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</si>
  <si>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</si>
  <si>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</si>
  <si>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</si>
  <si>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</si>
  <si>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</si>
  <si>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</si>
  <si>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</si>
  <si>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</si>
  <si>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</si>
  <si>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</si>
  <si>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</si>
  <si>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</si>
  <si>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</si>
  <si>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</si>
  <si>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</si>
  <si>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</si>
  <si>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</si>
  <si>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</si>
  <si>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</si>
  <si>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</si>
  <si>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</si>
  <si>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</si>
  <si>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</si>
  <si>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</si>
  <si>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</si>
  <si>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</si>
  <si>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</si>
  <si>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</si>
  <si>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</si>
  <si>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</si>
  <si>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</si>
  <si>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</si>
  <si>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</si>
  <si>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</si>
  <si>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</si>
  <si>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</si>
  <si>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</si>
  <si>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</si>
  <si>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</si>
  <si>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</si>
  <si>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</si>
  <si>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</si>
  <si>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</si>
  <si>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</si>
  <si>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</si>
  <si>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</si>
  <si>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</si>
  <si>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</si>
  <si>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</si>
  <si>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</si>
  <si>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</si>
  <si>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</si>
  <si>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</si>
  <si>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</si>
  <si>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</si>
  <si>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</si>
  <si>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</si>
  <si>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</si>
  <si>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</si>
  <si>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</si>
  <si>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</si>
  <si>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</si>
  <si>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</si>
  <si>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</si>
  <si>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</si>
  <si>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</si>
  <si>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</si>
  <si>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</si>
  <si>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</si>
  <si>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</si>
  <si>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</si>
  <si>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</si>
  <si>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</si>
  <si>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</si>
  <si>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</si>
  <si>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</si>
  <si>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</si>
  <si>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</si>
  <si>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</si>
  <si>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</si>
  <si>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</si>
  <si>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</si>
  <si>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</si>
  <si>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</si>
  <si>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</si>
  <si>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</si>
  <si>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</si>
  <si>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</si>
  <si>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</si>
  <si>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</si>
  <si>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</si>
  <si>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</si>
  <si>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</si>
  <si>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</si>
  <si>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</si>
  <si>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</si>
  <si>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</si>
  <si>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</si>
  <si>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</si>
  <si>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</si>
  <si>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</si>
  <si>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</si>
  <si>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</si>
  <si>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</si>
  <si>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</si>
  <si>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</si>
  <si>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</si>
  <si>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</si>
  <si>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</si>
  <si>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</si>
  <si>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</si>
  <si>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</si>
  <si>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</si>
  <si>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</si>
  <si>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</si>
  <si>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</si>
  <si>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</si>
  <si>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</si>
  <si>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</si>
  <si>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</si>
  <si>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</si>
  <si>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</si>
  <si>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</si>
  <si>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</si>
  <si>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</si>
  <si>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</si>
  <si>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</si>
  <si>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</si>
  <si>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</si>
  <si>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</si>
  <si>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</si>
  <si>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</si>
  <si>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</si>
  <si>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</si>
  <si>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</si>
  <si>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</si>
  <si>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</si>
  <si>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</si>
  <si>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</si>
  <si>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</si>
  <si>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</si>
  <si>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</si>
  <si>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</si>
  <si>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</si>
  <si>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</si>
  <si>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</si>
  <si>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</si>
  <si>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</si>
  <si>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</si>
  <si>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</si>
  <si>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</si>
  <si>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</si>
  <si>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</si>
  <si>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</si>
  <si>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</si>
  <si>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</si>
  <si>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</si>
  <si>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</si>
  <si>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</si>
  <si>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</si>
  <si>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</si>
  <si>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</si>
  <si>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</si>
  <si>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</si>
  <si>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</si>
  <si>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</si>
  <si>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</si>
  <si>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</si>
  <si>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</si>
  <si>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</si>
  <si>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</si>
  <si>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</si>
  <si>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</si>
  <si>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</si>
  <si>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</si>
  <si>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</si>
  <si>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</si>
  <si>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</si>
  <si>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</si>
  <si>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</si>
  <si>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</si>
  <si>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</si>
  <si>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</si>
  <si>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</si>
  <si>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</si>
  <si>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</si>
  <si>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</si>
  <si>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</si>
  <si>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</si>
  <si>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</si>
  <si>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</si>
  <si>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</si>
  <si>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</si>
  <si>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</si>
  <si>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</si>
  <si>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</si>
  <si>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</si>
  <si>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</si>
  <si>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</si>
  <si>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</si>
  <si>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</si>
  <si>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</si>
  <si>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</si>
  <si>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</si>
  <si>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</si>
  <si>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</si>
  <si>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</si>
  <si>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</si>
  <si>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</si>
  <si>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</si>
  <si>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</si>
  <si>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</si>
  <si>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</si>
  <si>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</si>
  <si>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</si>
  <si>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</si>
  <si>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</si>
  <si>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</si>
  <si>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</si>
  <si>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</si>
  <si>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</si>
  <si>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</si>
  <si>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</si>
  <si>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</si>
  <si>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</si>
  <si>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</si>
  <si>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</si>
  <si>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</si>
  <si>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</si>
  <si>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</si>
  <si>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</si>
  <si>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</si>
  <si>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</si>
  <si>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</si>
  <si>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</si>
  <si>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</si>
  <si>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</si>
  <si>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</si>
  <si>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</si>
  <si>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</si>
  <si>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</si>
  <si>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</si>
  <si>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</si>
  <si>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</si>
  <si>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</si>
  <si>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</si>
  <si>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</si>
  <si>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</si>
  <si>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</si>
  <si>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</si>
  <si>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</si>
  <si>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</si>
  <si>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</si>
  <si>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</si>
  <si>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</si>
  <si>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</si>
  <si>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</si>
  <si>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</si>
  <si>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</si>
  <si>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</si>
  <si>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</si>
  <si>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</si>
  <si>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</si>
  <si>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</si>
  <si>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</si>
  <si>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</si>
  <si>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</si>
  <si>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</si>
  <si>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</si>
  <si>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</si>
  <si>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</si>
  <si>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</si>
  <si>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</si>
  <si>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</si>
  <si>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</si>
  <si>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</si>
  <si>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</si>
  <si>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</si>
  <si>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</si>
  <si>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</si>
  <si>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</si>
  <si>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</si>
  <si>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</si>
  <si>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</si>
  <si>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</si>
  <si>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</si>
  <si>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</si>
  <si>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</si>
  <si>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</si>
  <si>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</si>
  <si>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</si>
  <si>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</si>
  <si>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</si>
  <si>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</si>
  <si>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</si>
  <si>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</si>
  <si>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</si>
  <si>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</si>
  <si>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</si>
  <si>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</si>
  <si>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</si>
  <si>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</si>
  <si>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</si>
  <si>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</si>
  <si>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</si>
  <si>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</si>
  <si>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</si>
  <si>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</si>
  <si>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</si>
  <si>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</si>
  <si>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</si>
  <si>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</si>
  <si>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</si>
  <si>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</si>
  <si>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</si>
  <si>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</si>
  <si>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</si>
  <si>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</si>
  <si>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</si>
  <si>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</si>
  <si>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</si>
  <si>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</si>
  <si>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</si>
  <si>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</si>
  <si>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</si>
  <si>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</si>
  <si>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</si>
  <si>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</si>
  <si>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</si>
  <si>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</si>
  <si>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</si>
  <si>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</si>
  <si>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</si>
  <si>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</si>
  <si>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</si>
  <si>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</si>
  <si>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</si>
  <si>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</si>
  <si>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</si>
  <si>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</si>
  <si>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</si>
  <si>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</si>
  <si>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</si>
  <si>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</si>
  <si>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</si>
  <si>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</si>
  <si>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</si>
  <si>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</si>
  <si>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</si>
  <si>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</si>
  <si>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</si>
  <si>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</si>
  <si>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</si>
  <si>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</si>
  <si>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</si>
  <si>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</si>
  <si>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</si>
  <si>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</si>
  <si>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</si>
  <si>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</si>
  <si>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</si>
  <si>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</si>
  <si>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</si>
  <si>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</si>
  <si>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</si>
  <si>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</si>
  <si>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</si>
  <si>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</si>
  <si>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</si>
  <si>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</si>
  <si>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</si>
  <si>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</si>
  <si>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</si>
  <si>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</si>
  <si>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</si>
  <si>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</si>
  <si>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</si>
  <si>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</si>
  <si>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</si>
  <si>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</si>
  <si>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</si>
  <si>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</si>
  <si>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</si>
  <si>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</si>
  <si>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</si>
  <si>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</si>
  <si>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</si>
  <si>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</si>
  <si>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</si>
  <si>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</si>
  <si>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</si>
  <si>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</si>
  <si>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</si>
  <si>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</si>
  <si>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</si>
  <si>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</si>
  <si>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</si>
  <si>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</si>
  <si>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</si>
  <si>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</si>
  <si>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</si>
  <si>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</si>
  <si>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</si>
  <si>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</si>
  <si>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</si>
  <si>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</si>
  <si>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</si>
  <si>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</si>
  <si>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</si>
  <si>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</si>
  <si>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</si>
  <si>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</si>
  <si>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</si>
  <si>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</si>
  <si>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</si>
  <si>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</si>
  <si>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</si>
  <si>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</si>
  <si>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</si>
  <si>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</si>
  <si>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</si>
  <si>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</si>
  <si>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</si>
  <si>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</si>
  <si>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</si>
  <si>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</si>
  <si>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</si>
  <si>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</si>
  <si>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</si>
  <si>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</si>
  <si>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</si>
  <si>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</si>
  <si>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</si>
  <si>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</si>
  <si>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</si>
  <si>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</si>
  <si>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</si>
  <si>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</si>
  <si>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</si>
  <si>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</si>
  <si>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</si>
  <si>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</si>
  <si>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</si>
  <si>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</si>
  <si>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</si>
  <si>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</si>
  <si>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</si>
  <si>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</si>
  <si>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</si>
  <si>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</si>
  <si>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</si>
  <si>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</si>
  <si>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</si>
  <si>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</si>
  <si>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</si>
  <si>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</si>
  <si>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</si>
  <si>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</si>
  <si>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</si>
  <si>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</si>
  <si>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</si>
  <si>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</si>
  <si>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</si>
  <si>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</si>
  <si>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</si>
  <si>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</si>
  <si>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</si>
  <si>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</si>
  <si>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</si>
  <si>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</si>
  <si>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</si>
  <si>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</si>
  <si>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</si>
  <si>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</si>
  <si>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</si>
  <si>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</si>
  <si>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</si>
  <si>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</si>
  <si>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</si>
  <si>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</si>
  <si>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</si>
  <si>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</si>
  <si>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</si>
  <si>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</si>
  <si>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</si>
  <si>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</si>
  <si>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</si>
  <si>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</si>
  <si>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</si>
  <si>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</si>
  <si>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</si>
  <si>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</si>
  <si>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</si>
  <si>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</si>
  <si>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</si>
  <si>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</si>
  <si>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</si>
  <si>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</si>
  <si>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</si>
  <si>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</si>
  <si>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</si>
  <si>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</si>
  <si>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</si>
  <si>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</si>
  <si>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</si>
  <si>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</si>
  <si>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</si>
  <si>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</si>
  <si>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</si>
  <si>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</si>
  <si>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</si>
  <si>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</si>
  <si>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</si>
  <si>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</si>
  <si>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</si>
  <si>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</si>
  <si>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</si>
  <si>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</si>
  <si>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</si>
  <si>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</si>
  <si>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</si>
  <si>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</si>
  <si>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</si>
  <si>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</si>
  <si>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</si>
  <si>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</si>
  <si>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</si>
  <si>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</si>
  <si>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</si>
  <si>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</si>
  <si>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</si>
  <si>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</si>
  <si>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</si>
  <si>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</si>
  <si>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</si>
  <si>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</si>
  <si>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</si>
  <si>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</si>
  <si>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</si>
  <si>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</si>
  <si>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</si>
  <si>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</si>
  <si>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</si>
  <si>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</si>
  <si>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</si>
  <si>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</si>
  <si>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</si>
  <si>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</si>
  <si>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</si>
  <si>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</si>
  <si>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</si>
  <si>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</si>
  <si>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</si>
  <si>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</si>
  <si>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</si>
  <si>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</si>
  <si>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</si>
  <si>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</si>
  <si>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</si>
  <si>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</si>
  <si>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</si>
  <si>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</si>
  <si>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</si>
  <si>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</si>
  <si>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</si>
  <si>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</si>
  <si>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</si>
  <si>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</si>
  <si>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</si>
  <si>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</si>
  <si>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</si>
  <si>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</si>
  <si>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</si>
  <si>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</si>
  <si>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</si>
  <si>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</si>
  <si>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</si>
  <si>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</si>
  <si>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</si>
  <si>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</si>
  <si>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</si>
  <si>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</si>
  <si>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</si>
  <si>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</si>
  <si>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</si>
  <si>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</si>
  <si>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</si>
  <si>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</si>
  <si>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</si>
  <si>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</si>
  <si>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</si>
  <si>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</si>
  <si>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</si>
  <si>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</si>
  <si>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</si>
  <si>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</si>
  <si>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</si>
  <si>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</si>
  <si>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</si>
  <si>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</si>
  <si>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</si>
  <si>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</si>
  <si>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</si>
  <si>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</si>
  <si>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</si>
  <si>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</si>
  <si>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</si>
  <si>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</si>
  <si>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</si>
  <si>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</si>
  <si>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</si>
  <si>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</si>
  <si>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</si>
  <si>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</si>
  <si>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</si>
  <si>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</si>
  <si>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</si>
  <si>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</si>
  <si>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</si>
  <si>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</si>
  <si>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</si>
  <si>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</si>
  <si>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</si>
  <si>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</si>
  <si>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</si>
  <si>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</si>
  <si>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</si>
  <si>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</si>
  <si>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</si>
  <si>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</si>
  <si>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</si>
  <si>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</si>
  <si>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</si>
  <si>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</si>
  <si>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</si>
  <si>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</si>
  <si>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</si>
  <si>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</si>
  <si>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</si>
  <si>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</si>
  <si>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</si>
  <si>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</si>
  <si>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</si>
  <si>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</si>
  <si>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</si>
  <si>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</si>
  <si>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</si>
  <si>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</si>
  <si>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</si>
  <si>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</si>
  <si>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</si>
  <si>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</si>
  <si>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</si>
  <si>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</si>
  <si>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</si>
  <si>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</si>
  <si>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</si>
  <si>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</si>
  <si>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</si>
  <si>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</si>
  <si>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</si>
  <si>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</si>
  <si>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</si>
  <si>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</si>
  <si>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</si>
  <si>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</si>
  <si>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</si>
  <si>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</si>
  <si>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</si>
  <si>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</si>
  <si>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</si>
  <si>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</si>
  <si>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</si>
  <si>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</si>
  <si>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</si>
  <si>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</si>
  <si>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</si>
  <si>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</si>
  <si>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</si>
  <si>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</si>
  <si>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</si>
  <si>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</si>
  <si>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</si>
  <si>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</si>
  <si>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</si>
  <si>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</si>
  <si>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</si>
  <si>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</si>
  <si>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</si>
  <si>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</si>
  <si>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</si>
  <si>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</si>
  <si>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</si>
  <si>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</si>
  <si>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</si>
  <si>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</si>
  <si>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</si>
  <si>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</si>
  <si>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</si>
  <si>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</si>
  <si>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</si>
  <si>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</si>
  <si>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</si>
  <si>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</si>
  <si>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</si>
  <si>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</si>
  <si>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</si>
  <si>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</si>
  <si>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</si>
  <si>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</si>
  <si>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</si>
  <si>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</si>
  <si>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</si>
  <si>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</si>
  <si>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</si>
  <si>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</si>
  <si>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</si>
  <si>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</si>
  <si>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</si>
  <si>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</si>
  <si>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</si>
  <si>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</si>
  <si>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</si>
  <si>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</si>
  <si>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</si>
  <si>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</si>
  <si>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</si>
  <si>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</si>
  <si>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</si>
  <si>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</si>
  <si>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</si>
  <si>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</si>
  <si>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</si>
  <si>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</si>
  <si>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</si>
  <si>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</si>
  <si>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</si>
  <si>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</si>
  <si>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</si>
  <si>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</si>
  <si>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</si>
  <si>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</si>
  <si>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</si>
  <si>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</si>
  <si>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</si>
  <si>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</si>
  <si>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</si>
  <si>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</si>
  <si>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</si>
  <si>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</si>
  <si>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</si>
  <si>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</si>
  <si>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</si>
  <si>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</si>
  <si>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</si>
  <si>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</si>
  <si>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</si>
  <si>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</si>
  <si>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</si>
  <si>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</si>
  <si>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</si>
  <si>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</si>
  <si>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</si>
  <si>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</si>
  <si>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</si>
  <si>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</si>
  <si>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</si>
  <si>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</si>
  <si>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</si>
  <si>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</si>
  <si>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</si>
  <si>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</si>
  <si>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</si>
  <si>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</si>
  <si>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</si>
  <si>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</si>
  <si>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</si>
  <si>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</si>
  <si>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</si>
  <si>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</si>
  <si>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</si>
  <si>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</si>
  <si>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</si>
  <si>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</si>
  <si>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</si>
  <si>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</si>
  <si>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</si>
  <si>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</si>
  <si>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</si>
  <si>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</si>
  <si>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</si>
  <si>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</si>
  <si>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</si>
  <si>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</si>
  <si>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</si>
  <si>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</si>
  <si>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</si>
  <si>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</si>
  <si>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</si>
  <si>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</si>
  <si>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</si>
  <si>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</si>
  <si>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</si>
  <si>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</si>
  <si>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</si>
  <si>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</si>
  <si>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</si>
  <si>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</si>
  <si>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</si>
  <si>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</si>
  <si>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</si>
  <si>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</si>
  <si>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</si>
  <si>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</si>
  <si>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</si>
  <si>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</si>
  <si>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</si>
  <si>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</si>
  <si>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</si>
  <si>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</si>
  <si>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</si>
  <si>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</si>
  <si>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</si>
  <si>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</si>
  <si>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</si>
  <si>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</si>
  <si>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</si>
  <si>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</si>
  <si>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</si>
  <si>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</si>
  <si>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</si>
  <si>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</si>
  <si>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</si>
  <si>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</si>
  <si>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</si>
  <si>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</si>
  <si>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</si>
  <si>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</si>
  <si>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</si>
  <si>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</si>
  <si>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</si>
  <si>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</si>
  <si>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</si>
  <si>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</si>
  <si>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</si>
  <si>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</si>
  <si>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</si>
  <si>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</si>
  <si>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</si>
  <si>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</si>
  <si>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</si>
  <si>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</si>
  <si>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</si>
  <si>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</si>
  <si>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</si>
  <si>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</si>
  <si>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</si>
  <si>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</si>
  <si>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</si>
  <si>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</si>
  <si>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</si>
  <si>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</si>
  <si>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</si>
  <si>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</si>
  <si>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</si>
  <si>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</si>
  <si>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</si>
  <si>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</si>
  <si>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</si>
  <si>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</si>
  <si>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</si>
  <si>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</si>
  <si>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</si>
  <si>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</si>
  <si>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</si>
  <si>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</si>
  <si>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</si>
  <si>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</si>
  <si>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</si>
  <si>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</si>
  <si>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</si>
  <si>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</si>
  <si>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</si>
  <si>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</si>
  <si>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</si>
  <si>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</si>
  <si>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</si>
  <si>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</si>
  <si>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</si>
  <si>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</si>
  <si>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</si>
  <si>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</si>
  <si>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</si>
  <si>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</si>
  <si>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</si>
  <si>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</si>
  <si>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</si>
  <si>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</si>
  <si>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</si>
  <si>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</si>
  <si>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</si>
  <si>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</si>
  <si>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</si>
  <si>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</si>
  <si>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</si>
  <si>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</si>
  <si>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</si>
  <si>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</si>
  <si>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</si>
  <si>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</si>
  <si>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</si>
  <si>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</si>
  <si>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</si>
  <si>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</si>
  <si>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</si>
  <si>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</si>
  <si>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</si>
  <si>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</si>
  <si>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</si>
  <si>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</si>
  <si>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</si>
  <si>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</si>
  <si>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</si>
  <si>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</si>
  <si>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</si>
  <si>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</si>
  <si>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</si>
  <si>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</si>
  <si>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</si>
  <si>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</si>
  <si>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</si>
  <si>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</si>
  <si>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</si>
  <si>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</si>
  <si>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</si>
  <si>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</si>
  <si>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</si>
  <si>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</si>
  <si>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</si>
  <si>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</si>
  <si>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</si>
  <si>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</si>
  <si>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</si>
  <si>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</si>
  <si>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</si>
  <si>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</si>
  <si>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</si>
  <si>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</si>
  <si>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</si>
  <si>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</si>
  <si>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</si>
  <si>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</si>
  <si>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</si>
  <si>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</si>
  <si>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</si>
  <si>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</si>
  <si>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</si>
  <si>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</si>
  <si>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</si>
  <si>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</si>
  <si>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</si>
  <si>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</si>
  <si>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</si>
  <si>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</si>
  <si>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</si>
  <si>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</si>
  <si>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</si>
  <si>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</si>
  <si>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</si>
  <si>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</si>
  <si>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</si>
  <si>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</si>
  <si>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</si>
  <si>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</si>
  <si>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</si>
  <si>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</si>
  <si>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</si>
  <si>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</si>
  <si>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</si>
  <si>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</si>
  <si>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</si>
  <si>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</si>
  <si>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</si>
  <si>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</si>
  <si>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</si>
  <si>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</si>
  <si>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</si>
  <si>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</si>
  <si>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</si>
  <si>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</si>
  <si>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</si>
  <si>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</si>
  <si>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</si>
  <si>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</si>
  <si>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</si>
  <si>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</si>
  <si>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</si>
  <si>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</si>
  <si>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</si>
  <si>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</si>
  <si>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</si>
  <si>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</si>
  <si>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</si>
  <si>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</si>
  <si>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</si>
  <si>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</si>
  <si>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</si>
  <si>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</si>
  <si>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</si>
  <si>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</si>
  <si>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</si>
  <si>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</si>
  <si>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</si>
  <si>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</si>
  <si>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</si>
  <si>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</si>
  <si>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</si>
  <si>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</si>
  <si>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</si>
  <si>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</si>
  <si>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</si>
  <si>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</si>
  <si>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</si>
  <si>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</si>
  <si>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</si>
  <si>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</si>
  <si>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</si>
  <si>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</si>
  <si>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</si>
  <si>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</si>
  <si>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</si>
  <si>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</si>
  <si>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</si>
  <si>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</si>
  <si>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</si>
  <si>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</si>
  <si>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</si>
  <si>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</si>
  <si>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</si>
  <si>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</si>
  <si>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</si>
  <si>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</si>
  <si>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</si>
  <si>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</si>
  <si>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</si>
  <si>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</si>
  <si>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</si>
  <si>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</si>
  <si>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</si>
  <si>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</si>
  <si>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</si>
  <si>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</si>
  <si>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</si>
  <si>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</si>
  <si>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</si>
  <si>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</si>
  <si>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</si>
  <si>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</si>
  <si>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</si>
  <si>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</si>
  <si>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</si>
  <si>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</si>
  <si>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</si>
  <si>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</si>
  <si>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</si>
  <si>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</si>
  <si>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</si>
  <si>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</si>
  <si>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</si>
  <si>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</si>
  <si>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</si>
  <si>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</si>
  <si>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</si>
  <si>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</si>
  <si>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</si>
  <si>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</si>
  <si>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</si>
  <si>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</si>
  <si>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</si>
  <si>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</si>
  <si>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</si>
  <si>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</si>
  <si>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</si>
  <si>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</si>
  <si>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</si>
  <si>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</si>
  <si>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</si>
  <si>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</si>
  <si>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</si>
  <si>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</si>
  <si>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</si>
  <si>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</si>
  <si>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</si>
  <si>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</si>
  <si>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</si>
  <si>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</si>
  <si>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</si>
  <si>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</si>
  <si>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</si>
  <si>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</si>
  <si>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</si>
  <si>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</si>
  <si>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</si>
  <si>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</si>
  <si>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</si>
  <si>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</si>
  <si>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</si>
  <si>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</si>
  <si>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</si>
  <si>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</si>
  <si>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</si>
  <si>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</si>
  <si>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</si>
  <si>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</si>
  <si>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</si>
  <si>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</si>
  <si>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</si>
  <si>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</si>
  <si>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</si>
  <si>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</si>
  <si>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</si>
  <si>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</si>
  <si>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</si>
  <si>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</si>
  <si>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</si>
  <si>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</si>
  <si>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</si>
  <si>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</si>
  <si>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</si>
  <si>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</si>
  <si>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</si>
  <si>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</si>
  <si>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</si>
  <si>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</si>
  <si>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</si>
  <si>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</si>
  <si>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</si>
  <si>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</si>
  <si>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</si>
  <si>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</si>
  <si>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</si>
  <si>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</si>
  <si>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</si>
  <si>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</si>
  <si>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</si>
  <si>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</si>
  <si>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</si>
  <si>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</si>
  <si>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</si>
  <si>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</si>
  <si>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</si>
  <si>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</si>
  <si>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</si>
  <si>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</si>
  <si>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</si>
  <si>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</si>
  <si>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</si>
  <si>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</si>
  <si>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</si>
  <si>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</si>
  <si>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</si>
  <si>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</si>
  <si>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</si>
  <si>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</si>
  <si>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</si>
  <si>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</si>
  <si>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</si>
  <si>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</si>
  <si>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</si>
  <si>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</si>
  <si>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</si>
  <si>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</si>
  <si>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</si>
  <si>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</si>
  <si>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</si>
  <si>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</si>
  <si>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</si>
  <si>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</si>
  <si>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</si>
  <si>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</si>
  <si>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</si>
  <si>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</si>
  <si>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</si>
  <si>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</si>
  <si>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</si>
  <si>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</si>
  <si>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</si>
  <si>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</si>
  <si>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</si>
  <si>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</si>
  <si>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</si>
  <si>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</si>
  <si>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</si>
  <si>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</si>
  <si>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</si>
  <si>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</si>
  <si>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</si>
  <si>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</si>
  <si>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</si>
  <si>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</si>
  <si>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</si>
  <si>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</si>
  <si>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</si>
  <si>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</si>
  <si>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</si>
  <si>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</si>
  <si>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</si>
  <si>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</si>
  <si>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</si>
  <si>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</si>
  <si>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</si>
  <si>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</si>
  <si>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</si>
  <si>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</si>
  <si>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</si>
  <si>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</si>
  <si>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</si>
  <si>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</si>
  <si>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</si>
  <si>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</si>
  <si>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</si>
  <si>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</si>
  <si>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</si>
  <si>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</si>
  <si>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</si>
  <si>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</si>
  <si>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</si>
  <si>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</si>
  <si>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</si>
  <si>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</si>
  <si>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</si>
  <si>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</si>
  <si>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</si>
  <si>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</si>
  <si>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</si>
  <si>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</si>
  <si>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</si>
  <si>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</si>
  <si>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</si>
  <si>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</si>
  <si>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</si>
  <si>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</si>
  <si>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</si>
  <si>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</si>
  <si>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</si>
  <si>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</si>
  <si>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</si>
  <si>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</si>
  <si>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</si>
  <si>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</si>
  <si>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</si>
  <si>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</si>
  <si>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</si>
  <si>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</si>
  <si>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</si>
  <si>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</si>
  <si>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</si>
  <si>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</si>
  <si>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</si>
  <si>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</si>
  <si>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</si>
  <si>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</si>
  <si>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</si>
  <si>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</si>
  <si>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</si>
  <si>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</si>
  <si>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</si>
  <si>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</si>
  <si>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</si>
  <si>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</si>
  <si>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</si>
  <si>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</si>
  <si>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</si>
  <si>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</si>
  <si>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</si>
  <si>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</si>
  <si>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</si>
  <si>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</si>
  <si>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</si>
  <si>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</si>
  <si>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</si>
  <si>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</si>
  <si>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</si>
  <si>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</si>
  <si>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</si>
  <si>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</si>
  <si>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</si>
  <si>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</si>
  <si>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</si>
  <si>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</si>
  <si>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</si>
  <si>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</si>
  <si>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</si>
  <si>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</si>
  <si>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</si>
  <si>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</si>
  <si>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</si>
  <si>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</si>
  <si>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</si>
  <si>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</si>
  <si>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</si>
  <si>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</si>
  <si>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</si>
  <si>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</si>
  <si>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</si>
  <si>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</si>
  <si>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</si>
  <si>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</si>
  <si>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</si>
  <si>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</si>
  <si>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</si>
  <si>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</si>
  <si>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</si>
  <si>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</si>
  <si>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</si>
  <si>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</si>
  <si>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</si>
  <si>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</si>
  <si>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</si>
  <si>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</si>
  <si>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</si>
  <si>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</si>
  <si>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</si>
  <si>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</si>
  <si>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</si>
  <si>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</si>
  <si>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</si>
  <si>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</si>
  <si>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</si>
  <si>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</si>
  <si>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</si>
  <si>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</si>
  <si>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</si>
  <si>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</si>
  <si>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</si>
  <si>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</si>
  <si>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</si>
  <si>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</si>
  <si>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</si>
  <si>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</si>
  <si>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</si>
  <si>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</si>
  <si>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</si>
  <si>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</si>
  <si>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</si>
  <si>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</si>
  <si>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</si>
  <si>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</si>
  <si>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</si>
  <si>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</si>
  <si>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</si>
  <si>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</si>
  <si>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</si>
  <si>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</si>
  <si>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</si>
  <si>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</si>
  <si>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</si>
  <si>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</si>
  <si>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</si>
  <si>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</si>
  <si>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</si>
  <si>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</si>
  <si>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</si>
  <si>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</si>
  <si>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</si>
  <si>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</si>
  <si>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</si>
  <si>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</si>
  <si>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</si>
  <si>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</si>
  <si>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</si>
  <si>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</si>
  <si>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</si>
  <si>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</si>
  <si>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</si>
  <si>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</si>
  <si>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</si>
  <si>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</si>
  <si>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</si>
  <si>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</si>
  <si>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</si>
  <si>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</si>
  <si>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</si>
  <si>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</si>
  <si>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</si>
  <si>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</si>
  <si>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</si>
  <si>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</si>
  <si>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</si>
  <si>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</si>
  <si>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</si>
  <si>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</si>
  <si>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</si>
  <si>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</si>
  <si>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</si>
  <si>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</si>
  <si>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</si>
  <si>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</si>
  <si>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</si>
  <si>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</si>
  <si>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</si>
  <si>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</si>
  <si>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</si>
  <si>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</si>
  <si>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</si>
  <si>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</si>
  <si>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</si>
  <si>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</si>
  <si>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</si>
  <si>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</si>
  <si>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</si>
  <si>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</si>
  <si>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</si>
  <si>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</si>
  <si>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</si>
  <si>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</si>
  <si>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</si>
  <si>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</si>
  <si>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</si>
  <si>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</si>
  <si>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</si>
  <si>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</si>
  <si>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</si>
  <si>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</si>
  <si>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</si>
  <si>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</si>
  <si>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</si>
  <si>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</si>
  <si>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</si>
  <si>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</si>
  <si>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</si>
  <si>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</si>
  <si>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</si>
  <si>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</si>
  <si>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</si>
  <si>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</si>
  <si>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</si>
  <si>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</si>
  <si>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</si>
  <si>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</si>
  <si>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</si>
  <si>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</si>
  <si>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</si>
  <si>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</si>
  <si>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</si>
  <si>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</si>
  <si>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</si>
  <si>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</si>
  <si>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</si>
  <si>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</si>
  <si>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</si>
  <si>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</si>
  <si>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</si>
  <si>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</si>
  <si>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</si>
  <si>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</si>
  <si>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</si>
  <si>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</si>
  <si>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</si>
  <si>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</si>
  <si>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</si>
  <si>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</si>
  <si>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</si>
  <si>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</si>
  <si>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</si>
  <si>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</si>
  <si>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</si>
  <si>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</si>
  <si>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</si>
  <si>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</si>
  <si>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</si>
  <si>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</si>
  <si>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</si>
  <si>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</si>
  <si>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</si>
  <si>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</si>
  <si>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</si>
  <si>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</si>
  <si>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</si>
  <si>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</si>
  <si>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</si>
  <si>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</si>
  <si>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</si>
  <si>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</si>
  <si>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</si>
  <si>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</si>
  <si>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</si>
  <si>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</si>
  <si>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</si>
  <si>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</si>
  <si>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</si>
  <si>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</si>
  <si>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</si>
  <si>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</si>
  <si>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</si>
  <si>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</si>
  <si>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</si>
  <si>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</si>
  <si>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</si>
  <si>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</si>
  <si>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</si>
  <si>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</si>
  <si>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</si>
  <si>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</si>
  <si>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</si>
  <si>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</si>
  <si>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</si>
  <si>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</si>
  <si>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</si>
  <si>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</si>
  <si>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</si>
  <si>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</si>
  <si>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</si>
  <si>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</si>
  <si>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</si>
  <si>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</si>
  <si>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</si>
  <si>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</si>
  <si>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</si>
  <si>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</si>
  <si>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</si>
  <si>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</si>
  <si>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</si>
  <si>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</si>
  <si>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</si>
  <si>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</si>
  <si>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</si>
  <si>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</si>
  <si>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</si>
  <si>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</si>
  <si>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</si>
  <si>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</si>
  <si>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</si>
  <si>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</si>
  <si>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</si>
  <si>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</si>
  <si>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</si>
  <si>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</si>
  <si>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</si>
  <si>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</si>
  <si>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</si>
  <si>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</si>
  <si>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</si>
  <si>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</si>
  <si>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</si>
  <si>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</si>
  <si>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</si>
  <si>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</si>
  <si>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</si>
  <si>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</si>
  <si>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</si>
  <si>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</si>
  <si>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</si>
  <si>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</si>
  <si>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</si>
  <si>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</si>
  <si>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</si>
  <si>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</si>
  <si>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</si>
  <si>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</si>
  <si>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</si>
  <si>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</si>
  <si>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</si>
  <si>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</si>
  <si>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</si>
  <si>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</si>
  <si>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</si>
  <si>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</si>
  <si>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</si>
  <si>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</si>
  <si>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</si>
  <si>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</si>
  <si>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</si>
  <si>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</si>
  <si>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</si>
  <si>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</si>
  <si>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</si>
  <si>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</si>
  <si>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</si>
  <si>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</si>
  <si>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</si>
  <si>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</si>
  <si>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</si>
  <si>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</si>
  <si>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</si>
  <si>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</si>
  <si>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</si>
  <si>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</si>
  <si>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</si>
  <si>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</si>
  <si>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</si>
  <si>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</si>
  <si>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</si>
  <si>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</si>
  <si>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</si>
  <si>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</si>
  <si>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</si>
  <si>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</si>
  <si>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</si>
  <si>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</si>
  <si>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</si>
  <si>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</si>
  <si>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</si>
  <si>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</si>
  <si>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</si>
  <si>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</si>
  <si>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</si>
  <si>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</si>
  <si>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</si>
  <si>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</si>
  <si>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</si>
  <si>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</si>
  <si>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</si>
  <si>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</si>
  <si>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</si>
  <si>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</si>
  <si>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</si>
  <si>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</si>
  <si>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</si>
  <si>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</si>
  <si>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</si>
  <si>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</si>
  <si>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</si>
  <si>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</si>
  <si>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</si>
  <si>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</si>
  <si>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</si>
  <si>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</si>
  <si>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</si>
  <si>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</si>
  <si>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</si>
  <si>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</si>
  <si>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</si>
  <si>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</si>
  <si>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</si>
  <si>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</si>
  <si>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</si>
  <si>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</si>
  <si>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</si>
  <si>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</si>
  <si>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</si>
  <si>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</si>
  <si>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</si>
  <si>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</si>
  <si>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</si>
  <si>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</si>
  <si>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</si>
  <si>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</si>
  <si>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</si>
  <si>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</si>
  <si>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</si>
  <si>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</si>
  <si>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</si>
  <si>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</si>
  <si>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</si>
  <si>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</si>
  <si>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</si>
  <si>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</si>
  <si>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</si>
  <si>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</si>
  <si>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</si>
  <si>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</si>
  <si>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</si>
  <si>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</si>
  <si>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</si>
  <si>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</si>
  <si>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</si>
  <si>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</si>
  <si>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</si>
  <si>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</si>
  <si>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</si>
  <si>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</si>
  <si>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</si>
  <si>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</si>
  <si>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</si>
  <si>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</si>
  <si>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</si>
  <si>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</si>
  <si>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</si>
  <si>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</si>
  <si>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</si>
  <si>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</si>
  <si>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</si>
  <si>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</si>
  <si>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</si>
  <si>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</si>
  <si>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</si>
  <si>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</si>
  <si>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</si>
  <si>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</si>
  <si>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</si>
  <si>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</si>
  <si>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</si>
  <si>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</si>
  <si>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</si>
  <si>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</si>
  <si>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</si>
  <si>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</si>
  <si>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</si>
  <si>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</si>
  <si>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</si>
  <si>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</si>
  <si>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</si>
  <si>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</si>
  <si>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</si>
  <si>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</si>
  <si>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</si>
  <si>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</si>
  <si>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</si>
  <si>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</si>
  <si>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</si>
  <si>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</si>
  <si>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</si>
  <si>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</si>
  <si>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</si>
  <si>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</si>
  <si>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</si>
  <si>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</si>
  <si>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</si>
  <si>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</si>
  <si>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</si>
  <si>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</si>
  <si>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</si>
  <si>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</si>
  <si>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</si>
  <si>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</si>
  <si>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</si>
  <si>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</si>
  <si>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</si>
  <si>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</si>
  <si>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</si>
  <si>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</si>
  <si>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</si>
  <si>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</si>
  <si>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</si>
  <si>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</si>
  <si>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</si>
  <si>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</si>
  <si>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</si>
  <si>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</si>
  <si>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</si>
  <si>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</si>
  <si>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</si>
  <si>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</si>
  <si>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</si>
  <si>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</si>
  <si>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</si>
  <si>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</si>
  <si>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</si>
  <si>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</si>
  <si>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</si>
  <si>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</si>
  <si>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</si>
  <si>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</si>
  <si>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</si>
  <si>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</si>
  <si>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</si>
  <si>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</si>
  <si>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</si>
  <si>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</si>
  <si>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</si>
  <si>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</si>
  <si>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</si>
  <si>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</si>
  <si>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</si>
  <si>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</si>
  <si>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</si>
  <si>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</si>
  <si>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</si>
  <si>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</si>
  <si>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</si>
  <si>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</si>
  <si>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</si>
  <si>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</si>
  <si>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</si>
  <si>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</si>
  <si>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</si>
  <si>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</si>
  <si>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</si>
  <si>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</si>
  <si>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</si>
  <si>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</si>
  <si>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</si>
  <si>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</si>
  <si>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</si>
  <si>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</si>
  <si>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</si>
  <si>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</si>
  <si>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</si>
  <si>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</si>
  <si>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</si>
  <si>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</si>
  <si>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</si>
  <si>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</si>
  <si>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</si>
  <si>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</si>
  <si>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</si>
  <si>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</si>
  <si>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</si>
  <si>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</si>
  <si>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</si>
  <si>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</si>
  <si>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</si>
  <si>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</si>
  <si>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</si>
  <si>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</si>
  <si>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</si>
  <si>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</si>
  <si>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</si>
  <si>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</si>
  <si>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</si>
  <si>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</si>
  <si>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</si>
  <si>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</si>
  <si>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</si>
  <si>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</si>
  <si>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</si>
  <si>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</si>
  <si>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</si>
  <si>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</si>
  <si>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</si>
  <si>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</si>
  <si>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</si>
  <si>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</si>
  <si>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</si>
  <si>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</si>
  <si>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</si>
  <si>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</si>
  <si>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</si>
  <si>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</si>
  <si>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</si>
  <si>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</si>
  <si>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</si>
  <si>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</si>
  <si>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</si>
  <si>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</si>
  <si>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</si>
  <si>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</si>
  <si>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</si>
  <si>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</si>
  <si>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</si>
  <si>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</si>
  <si>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</si>
  <si>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</si>
  <si>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</si>
  <si>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</si>
  <si>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</si>
  <si>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</si>
  <si>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</si>
  <si>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</si>
  <si>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</si>
  <si>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</si>
  <si>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</si>
  <si>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</si>
  <si>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</si>
  <si>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</si>
  <si>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</si>
  <si>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</si>
  <si>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</si>
  <si>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</si>
  <si>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</si>
  <si>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</si>
  <si>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</si>
  <si>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</si>
  <si>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</si>
  <si>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</si>
  <si>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</si>
  <si>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</si>
  <si>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</si>
  <si>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</si>
  <si>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</si>
  <si>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</si>
  <si>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</si>
  <si>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</si>
  <si>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</si>
  <si>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</si>
  <si>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</si>
  <si>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</si>
  <si>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</si>
  <si>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</si>
  <si>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</si>
  <si>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</si>
  <si>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</si>
  <si>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</si>
  <si>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</si>
  <si>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</si>
  <si>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</si>
  <si>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</si>
  <si>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</si>
  <si>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</si>
  <si>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</si>
  <si>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</si>
  <si>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</si>
  <si>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</si>
  <si>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</si>
  <si>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</si>
  <si>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</si>
  <si>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</si>
  <si>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</si>
  <si>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</si>
  <si>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</si>
  <si>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</si>
  <si>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</si>
  <si>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</si>
  <si>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</si>
  <si>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</si>
  <si>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</si>
  <si>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</si>
  <si>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</si>
  <si>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</si>
  <si>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</si>
  <si>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</si>
  <si>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</si>
  <si>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</si>
  <si>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</si>
  <si>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</si>
  <si>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</si>
  <si>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</si>
  <si>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</si>
  <si>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</si>
  <si>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</si>
  <si>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</si>
  <si>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</si>
  <si>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</si>
  <si>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</si>
  <si>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</si>
  <si>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</si>
  <si>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</si>
  <si>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</si>
  <si>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</si>
  <si>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</si>
  <si>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</si>
  <si>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</si>
  <si>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</si>
  <si>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</si>
  <si>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</si>
  <si>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</si>
  <si>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</si>
  <si>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</si>
  <si>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</si>
  <si>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</si>
  <si>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</si>
  <si>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</si>
  <si>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</si>
  <si>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</si>
  <si>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</si>
  <si>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</si>
  <si>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</si>
  <si>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</si>
  <si>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</si>
  <si>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</si>
  <si>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</si>
  <si>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</si>
  <si>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</si>
  <si>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</si>
  <si>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</si>
  <si>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</si>
  <si>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</si>
  <si>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</si>
  <si>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</si>
  <si>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</si>
  <si>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</si>
  <si>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</si>
  <si>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</si>
  <si>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</si>
  <si>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</si>
  <si>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</si>
  <si>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</si>
  <si>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</si>
  <si>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</si>
  <si>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</si>
  <si>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</si>
  <si>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</si>
  <si>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</si>
  <si>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</si>
  <si>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</si>
  <si>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</si>
  <si>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</si>
  <si>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</si>
  <si>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</si>
  <si>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</si>
  <si>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</si>
  <si>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</si>
  <si>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</si>
  <si>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</si>
  <si>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</si>
  <si>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</si>
  <si>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</si>
  <si>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</si>
  <si>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</si>
  <si>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</si>
  <si>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</si>
  <si>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</si>
  <si>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</si>
  <si>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</si>
  <si>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</si>
  <si>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</si>
  <si>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</si>
  <si>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</si>
  <si>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</si>
  <si>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</si>
  <si>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</si>
  <si>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</si>
  <si>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</si>
  <si>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</si>
  <si>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</si>
  <si>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</si>
  <si>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</si>
  <si>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</si>
  <si>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</si>
  <si>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</si>
  <si>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</si>
  <si>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</si>
  <si>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</si>
  <si>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</si>
  <si>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</si>
  <si>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</si>
  <si>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</si>
  <si>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</si>
  <si>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</si>
  <si>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</si>
  <si>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</si>
  <si>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</si>
  <si>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</si>
  <si>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</si>
  <si>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</si>
  <si>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</si>
  <si>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</si>
  <si>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</si>
  <si>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</si>
  <si>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</si>
  <si>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</si>
  <si>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</si>
  <si>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</si>
  <si>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</si>
  <si>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</si>
  <si>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</si>
  <si>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</si>
  <si>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</si>
  <si>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</si>
  <si>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</si>
  <si>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</si>
  <si>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</si>
  <si>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</si>
  <si>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</si>
  <si>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</si>
  <si>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</si>
  <si>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</si>
  <si>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</si>
  <si>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</si>
  <si>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</si>
  <si>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</si>
  <si>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</si>
  <si>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</si>
  <si>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</si>
  <si>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</si>
  <si>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</si>
  <si>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</si>
  <si>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</si>
  <si>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</si>
  <si>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</si>
  <si>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</si>
  <si>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</si>
  <si>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</si>
  <si>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</si>
  <si>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</si>
  <si>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</si>
  <si>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</si>
  <si>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</si>
  <si>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</si>
  <si>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</si>
  <si>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</si>
  <si>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</si>
  <si>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</si>
  <si>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</si>
  <si>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</si>
  <si>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</si>
  <si>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</si>
  <si>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</si>
  <si>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</si>
  <si>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</si>
  <si>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</si>
  <si>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</si>
  <si>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</si>
  <si>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</si>
  <si>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</si>
  <si>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</si>
  <si>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</si>
  <si>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</si>
  <si>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</si>
  <si>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</si>
  <si>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</si>
  <si>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</si>
  <si>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</si>
  <si>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</si>
  <si>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</si>
  <si>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</si>
  <si>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</si>
  <si>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</si>
  <si>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</si>
  <si>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</si>
  <si>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</si>
  <si>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</si>
  <si>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</si>
  <si>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</si>
  <si>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5/17/2018 - 4/23/2019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</si>
</sst>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Q1112"/>
  <sheetViews>
    <sheetView showGridLines="0" tabSelected="1" topLeftCell="A2" zoomScaleNormal="100" workbookViewId="0">
      <selection activeCell="B3" sqref="B3:G3"/>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customWidth="1"/>
    <col min="63" max="63" width="13" style="6" customWidth="1"/>
    <col min="64"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3086</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3082</v>
      </c>
      <c r="AX9" s="290" t="s">
        <v>3083</v>
      </c>
      <c r="AY9" s="288" t="s">
        <v>1067</v>
      </c>
      <c r="AZ9" s="288" t="s">
        <v>1416</v>
      </c>
      <c r="BA9" s="288" t="s">
        <v>2159</v>
      </c>
      <c r="BB9" s="288" t="s">
        <v>2224</v>
      </c>
      <c r="BC9" s="288" t="s">
        <v>2264</v>
      </c>
      <c r="BD9" s="288" t="s">
        <v>2381</v>
      </c>
      <c r="BE9" s="289" t="s">
        <v>3004</v>
      </c>
      <c r="BF9" s="289" t="s">
        <v>3005</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95</v>
      </c>
      <c r="D11" s="8" t="s">
        <v>1418</v>
      </c>
      <c r="E11" s="7"/>
      <c r="F11" s="7"/>
      <c r="G11" s="19"/>
      <c r="H11" s="166" t="s">
        <v>3084</v>
      </c>
      <c r="I11" s="20"/>
      <c r="J11" s="20"/>
      <c r="K11" s="167">
        <f>S204</f>
        <v>55700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1357</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8480</v>
      </c>
      <c r="F15" s="263">
        <f t="shared" si="1"/>
        <v>9700</v>
      </c>
      <c r="G15" s="263">
        <f t="shared" si="1"/>
        <v>10900</v>
      </c>
      <c r="H15" s="263">
        <f t="shared" si="1"/>
        <v>12120</v>
      </c>
      <c r="I15" s="263">
        <f t="shared" si="1"/>
        <v>13080</v>
      </c>
      <c r="J15" s="263">
        <f t="shared" si="1"/>
        <v>14060</v>
      </c>
      <c r="K15" s="263">
        <f t="shared" si="1"/>
        <v>15020</v>
      </c>
      <c r="L15" s="279">
        <f t="shared" si="1"/>
        <v>16000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12720</v>
      </c>
      <c r="F16" s="263">
        <f t="shared" si="2"/>
        <v>14550</v>
      </c>
      <c r="G16" s="263">
        <f t="shared" si="2"/>
        <v>16350</v>
      </c>
      <c r="H16" s="263">
        <f t="shared" si="2"/>
        <v>18180</v>
      </c>
      <c r="I16" s="263">
        <f t="shared" si="2"/>
        <v>19620</v>
      </c>
      <c r="J16" s="263">
        <f t="shared" si="2"/>
        <v>21090</v>
      </c>
      <c r="K16" s="263">
        <f t="shared" si="2"/>
        <v>22530</v>
      </c>
      <c r="L16" s="279">
        <f t="shared" si="2"/>
        <v>24000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16960</v>
      </c>
      <c r="F17" s="263">
        <f t="shared" si="2"/>
        <v>19400</v>
      </c>
      <c r="G17" s="263">
        <f t="shared" si="2"/>
        <v>21800</v>
      </c>
      <c r="H17" s="263">
        <f t="shared" si="2"/>
        <v>24240</v>
      </c>
      <c r="I17" s="263">
        <f t="shared" si="2"/>
        <v>26160</v>
      </c>
      <c r="J17" s="263">
        <f t="shared" si="2"/>
        <v>28120</v>
      </c>
      <c r="K17" s="263">
        <f t="shared" si="2"/>
        <v>30040</v>
      </c>
      <c r="L17" s="279">
        <f t="shared" si="2"/>
        <v>32000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21200</v>
      </c>
      <c r="F18" s="263">
        <f t="shared" si="3"/>
        <v>24250</v>
      </c>
      <c r="G18" s="263">
        <f t="shared" si="3"/>
        <v>27250</v>
      </c>
      <c r="H18" s="263">
        <f t="shared" si="3"/>
        <v>30300</v>
      </c>
      <c r="I18" s="263">
        <f t="shared" si="3"/>
        <v>32700</v>
      </c>
      <c r="J18" s="263">
        <f t="shared" si="3"/>
        <v>35150</v>
      </c>
      <c r="K18" s="263">
        <f t="shared" si="3"/>
        <v>37550</v>
      </c>
      <c r="L18" s="279">
        <f t="shared" si="3"/>
        <v>40000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25440</v>
      </c>
      <c r="F19" s="263">
        <f t="shared" si="3"/>
        <v>29100</v>
      </c>
      <c r="G19" s="263">
        <f t="shared" si="3"/>
        <v>32700</v>
      </c>
      <c r="H19" s="263">
        <f t="shared" si="3"/>
        <v>36360</v>
      </c>
      <c r="I19" s="263">
        <f t="shared" si="3"/>
        <v>39240</v>
      </c>
      <c r="J19" s="263">
        <f t="shared" si="3"/>
        <v>42180</v>
      </c>
      <c r="K19" s="263">
        <f t="shared" si="3"/>
        <v>45060</v>
      </c>
      <c r="L19" s="279">
        <f t="shared" si="3"/>
        <v>48000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29680</v>
      </c>
      <c r="F20" s="263">
        <f t="shared" si="4"/>
        <v>33950</v>
      </c>
      <c r="G20" s="263">
        <f t="shared" si="4"/>
        <v>38150</v>
      </c>
      <c r="H20" s="263">
        <f t="shared" si="4"/>
        <v>42420</v>
      </c>
      <c r="I20" s="263">
        <f t="shared" si="4"/>
        <v>45780</v>
      </c>
      <c r="J20" s="263">
        <f t="shared" si="4"/>
        <v>49210</v>
      </c>
      <c r="K20" s="263">
        <f t="shared" si="4"/>
        <v>52570</v>
      </c>
      <c r="L20" s="279">
        <f t="shared" si="4"/>
        <v>56000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33920</v>
      </c>
      <c r="F21" s="263">
        <f t="shared" si="5"/>
        <v>38800</v>
      </c>
      <c r="G21" s="263">
        <f t="shared" si="5"/>
        <v>43600</v>
      </c>
      <c r="H21" s="263">
        <f t="shared" si="5"/>
        <v>48480</v>
      </c>
      <c r="I21" s="263">
        <f t="shared" si="5"/>
        <v>52320</v>
      </c>
      <c r="J21" s="263">
        <f t="shared" si="5"/>
        <v>56240</v>
      </c>
      <c r="K21" s="263">
        <f t="shared" si="5"/>
        <v>60080</v>
      </c>
      <c r="L21" s="279">
        <f t="shared" si="5"/>
        <v>64000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212</v>
      </c>
      <c r="F26" s="282">
        <f>IF(OR($B$16=0,$B$16=$AS$12,$B$16=$AS$13,$B$16=$AS$14,$B$16=$AS$15,$B$16=$AS$16),"",ROUNDDOWN(AVERAGE(E54,F54)/12*0.3,0))</f>
        <v>227</v>
      </c>
      <c r="G26" s="282">
        <f>IF(OR($B$16=0,$B$16=$AS$12,$B$16=$AS$13,$B$16=$AS$14,$B$16=$AS$15,$B$16=$AS$16),"",ROUNDDOWN(0.3*G54/12,0))</f>
        <v>272</v>
      </c>
      <c r="H26" s="282">
        <f>IF(OR($B$16=0,$B$16=$AS$12,$B$16=$AS$13,$B$16=$AS$14,$B$16=$AS$15,$B$16=$AS$16),"",ROUNDDOWN(AVERAGE(I54,H54)/12*0.3,0))</f>
        <v>315</v>
      </c>
      <c r="I26" s="282">
        <f>IF(OR($B$16=0,$B$16=$AS$12,$B$16=$AS$13,$B$16=$AS$14,$B$16=$AS$15,$B$16=$AS$16),"",ROUNDDOWN(0.3*I54/12,0))</f>
        <v>327</v>
      </c>
      <c r="J26" s="283">
        <f>IF(OR($B$16=0,$B$16=$AS$12,$B$16=$AS$13,$B$16=$AS$14,$B$16=$AS$15,$B$16=$AS$16),"",ROUNDDOWN(AVERAGE(K54,L54)/12*0.3,0))</f>
        <v>387</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318</v>
      </c>
      <c r="F27" s="273">
        <f>IF(OR($B$11=0,$B$18=0,$A$24=0,),"",IF(OR($B$16=$AS$14,$B$16=$AS$13),IF($B$29=$AP$10,$F217,IF($B$29=$AP$11,$F224,"")),IF($B$16=$AS$16,F254,ROUNDDOWN(AVERAGE(E55,F55)/12*0.3,0))))</f>
        <v>340</v>
      </c>
      <c r="G27" s="273">
        <f>IF(OR($B$11=0,$B$18=0,$A$24=0,),"",IF(OR($B$16=$AS$14,$B$16=$AS$13),IF($B$29=$AP$10,$G217,IF($B$29=$AP$11,$G224,"")),IF($B$16=$AS$16,G254,ROUNDDOWN(0.3*G55/12,0))))</f>
        <v>408</v>
      </c>
      <c r="H27" s="273">
        <f>IF(OR($B$11=0,$B$18=0,$A$24=0,),"",IF(OR($B$16=$AS$14,$B$16=$AS$13),IF($B$29=$AP$10,$H217,IF($B$29=$AP$11,$H224,"")),IF($B$16=$AS$16,H254,ROUNDDOWN(AVERAGE(I55,H55)/12*0.3,0))))</f>
        <v>472</v>
      </c>
      <c r="I27" s="273">
        <f>IF(OR($B$11=0,$B$18=0,$A$24=0,),"",IF(OR($B$16=$AS$14,$B$16=$AS$13),IF($B$29=$AP$10,$I217,IF($B$29=$AP$11,$I224,"")),IF($B$16=$AS$16,I254,ROUNDDOWN(0.3*J55/12,0))))</f>
        <v>527</v>
      </c>
      <c r="J27" s="275">
        <f>IF(OR($B$11=0,$B$18=0,$A$24=0,),"",IF(OR($B$16=$AS$14,$B$16=$AS$13),IF($B$29=$AP$10,$J217,IF($B$29=$AP$11,$J224,"")),IF($B$16=$AS$16,J254,ROUNDDOWN(AVERAGE(K55,L55)/12*0.3,0))))</f>
        <v>581</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424</v>
      </c>
      <c r="F28" s="273">
        <f>IF(OR($B$11=0,$B$18=0,$A$24=0,),"",IF(OR($B$16=$AS$14,$B$16=$AS$13),IF($B$29=$AP$10,$F218,IF($B$29=$AP$11,$F$225,"")),IF($B$16=$AS$16,F255,ROUNDDOWN(AVERAGE(E56,F56)/12*0.3,0))))</f>
        <v>454</v>
      </c>
      <c r="G28" s="273">
        <f>IF(OR($B$11=0,$B$18=0,$A$24=0,),"",IF(OR($B$16=$AS$14,$B$16=$AS$13),IF($B$29=$AP$10,$G218,IF($B$29=$AP$11,$G$225,"")),IF($B$16=$AS$16,G255,ROUNDDOWN(0.3*G56/12,0))))</f>
        <v>545</v>
      </c>
      <c r="H28" s="273">
        <f>IF(OR($B$11=0,$B$18=0,$A$24=0,),"",IF(OR($B$16=$AS$14,$B$16=$AS$13),IF($B$29=$AP$10,$H218,IF($B$29=$AP$11,$H$225,"")),IF($B$16=$AS$16,H255,ROUNDDOWN(AVERAGE(I56,H56)/12*0.3,0))))</f>
        <v>630</v>
      </c>
      <c r="I28" s="273">
        <f>IF(OR($B$11=0,$B$18=0,$A$24=0,),"",IF(OR($B$16=$AS$14,$B$16=$AS$13),IF($B$29=$AP$10,$I218,IF($B$29=$AP$11,$I$225,"")),IF($B$16=$AS$16,I255,ROUNDDOWN(0.3*J56/12,0))))</f>
        <v>703</v>
      </c>
      <c r="J28" s="275">
        <f>IF(OR($B$11=0,$B$18=0,$A$24=0,),"",IF(OR($B$16=$AS$14,$B$16=$AS$13),IF($B$29=$AP$10,$J218,IF($B$29=$AP$11,$J$225,"")),IF($B$16=$AS$16,J255,ROUNDDOWN(AVERAGE(K56,L56)/12*0.3,0))))</f>
        <v>775</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530</v>
      </c>
      <c r="F29" s="273">
        <f>IF(OR($B$11=0,$B$18=0,$A$24=0,),"",IF(OR($B$16=$AS$14,$B$16=$AS$13),IF($B$29=$AP$10,$F219,IF($B$29=$AP$11,$F$226,"")),IF($B$16=$AS$16,"",ROUNDDOWN(AVERAGE(E57,F57)/12*0.3,0))))</f>
        <v>568</v>
      </c>
      <c r="G29" s="273">
        <f>IF(OR($B$11=0,$B$18=0,$A$24=0,),"",IF(OR($B$16=$AS$14,$B$16=$AS$13),IF($B$29=$AP$10,$G219,IF($B$29=$AP$11,$G$226,"")),IF($B$16=$AS$16,"",ROUNDDOWN(0.3*G57/12,0))))</f>
        <v>681</v>
      </c>
      <c r="H29" s="273">
        <f>IF(OR($B$11=0,$B$18=0,$A$24=0,),"",IF(OR($B$16=$AS$14,$B$16=$AS$13),IF($B$29=$AP$10,$H219,IF($B$29=$AP$11,$H$226,"")),IF($B$16=$AS$16,"",ROUNDDOWN(AVERAGE(I57,H57)/12*0.3,0))))</f>
        <v>787</v>
      </c>
      <c r="I29" s="273">
        <f>IF(OR($B$11=0,$B$18=0,$A$24=0,),"",IF(OR($B$16=$AS$14,$B$16=$AS$13),IF($B$29=$AP$10,$I219,IF($B$29=$AP$11,$I$226,"")),IF($B$16=$AS$16,"",ROUNDDOWN(0.3*J57/12,0))))</f>
        <v>878</v>
      </c>
      <c r="J29" s="275">
        <f>IF(OR($B$11=0,$B$18=0,$A$24=0,),"",IF(OR($B$16=$AS$14,$B$16=$AS$13),IF($B$29=$AP$10,$J219,IF($B$29=$AP$11,$J$226,"")),IF($B$16=$AS$16,"",ROUNDDOWN(AVERAGE(K57,L57)/12*0.3,0))))</f>
        <v>969</v>
      </c>
      <c r="K29" s="274"/>
      <c r="L29" s="12"/>
      <c r="M29" s="156"/>
      <c r="AT29" s="9" t="s">
        <v>107</v>
      </c>
      <c r="AU29" t="s">
        <v>3088</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636</v>
      </c>
      <c r="F30" s="273">
        <f>IF(OR($B$11=0,$B$18=0,$A$24=0,),"",IF(OR($B$16=$AS$14,$B$16=$AS$13),IF($B$29=$AP$10,$F220,IF($B$29=$AP$11,$F$227,"")),IF($B$16=$AS$16,"",ROUNDDOWN(AVERAGE(E58,F58)/12*0.3,0))))</f>
        <v>681</v>
      </c>
      <c r="G30" s="273">
        <f>IF(OR($B$11=0,$B$18=0,$A$24=0,),"",IF(OR($B$16=$AS$14,$B$16=$AS$13),IF($B$29=$AP$10,$G220,IF($B$29=$AP$11,$G$227,"")),IF($B$16=$AS$16,"",ROUNDDOWN(0.3*G58/12,0))))</f>
        <v>817</v>
      </c>
      <c r="H30" s="273">
        <f>IF(OR($B$11=0,$B$18=0,$A$24=0,),"",IF(OR($B$16=$AS$14,$B$16=$AS$13),IF($B$29=$AP$10,$H220,IF($B$29=$AP$11,$H$227,"")),IF($B$16=$AS$16,"",ROUNDDOWN(AVERAGE(I58,H58)/12*0.3,0))))</f>
        <v>945</v>
      </c>
      <c r="I30" s="273">
        <f>IF(OR($B$11=0,$B$18=0,$A$24=0,),"",IF(OR($B$16=$AS$14,$B$16=$AS$13),IF($B$29=$AP$10,$I220,IF($B$29=$AP$11,$I$227,"")),IF($B$16=$AS$16,"",ROUNDDOWN(0.3*J58/12,0))))</f>
        <v>1054</v>
      </c>
      <c r="J30" s="275">
        <f>IF(OR($B$11=0,$B$18=0,$A$24=0,),"",IF(OR($B$16=$AS$14,$B$16=$AS$13),IF($B$29=$AP$10,$J220,IF($B$29=$AP$11,$J$227,"")),IF($B$16=$AS$16,"",ROUNDDOWN(AVERAGE(K58,L58)/12*0.3,0))))</f>
        <v>1163</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742</v>
      </c>
      <c r="F32" s="273">
        <f>IF(OR($B$16=0,$B$16=$AS$12,$B$16=$AS$13,$B$16=$AS$14,$B$16=$AS$15,$B$16=$AS$16),"",ROUNDDOWN(AVERAGE(E59,F59)/12*0.3,0))</f>
        <v>795</v>
      </c>
      <c r="G32" s="273">
        <f>IF(OR($B$16=0,$B$16=$AS$12,$B$16=$AS$13,$B$16=$AS$14,$B$16=$AS$15,$B$16=$AS$16),"",ROUNDDOWN(0.3*G59/12,0))</f>
        <v>953</v>
      </c>
      <c r="H32" s="273">
        <f>IF(OR($B$16=0,$B$16=$AS$12,$B$16=$AS$13,$B$16=$AS$14,$B$16=$AS$15,$B$16=$AS$16),"",ROUNDDOWN(AVERAGE(I59,H59)/12*0.3,0))</f>
        <v>1102</v>
      </c>
      <c r="I32" s="273">
        <f>IF(OR($B$16=0,$B$16=$AS$12,$B$16=$AS$13,$B$16=$AS$14,$B$16=$AS$15,$B$16=$AS$16),"",ROUNDDOWN(0.3*I59/12,0))</f>
        <v>1144</v>
      </c>
      <c r="J32" s="275">
        <f>IF(OR($B$16=0,$B$16=$AS$12,$B$16=$AS$13,$B$16=$AS$14,$B$16=$AS$15,$B$16=$AS$16),"",ROUNDDOWN(AVERAGE(K59,L59)/12*0.3,0))</f>
        <v>1357</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848</v>
      </c>
      <c r="F33" s="77">
        <f>IF(OR($B$11=0,$B$18=0,$A$24=0,$B$16=$AS$16),"",IF(OR($B$16=$A$13,$B$16=$AS$13),$F221,ROUNDDOWN(AVERAGE(E60,F60)/12*0.3,0)))</f>
        <v>909</v>
      </c>
      <c r="G33" s="77">
        <f>IF(OR($B$11=0,$B$18=0,$A$24=0,$B$16=$AS$16),"",IF(OR($B$16=$A$13,$B$16=$AS$13),$G221,ROUNDDOWN(0.3*G60/12,0)))</f>
        <v>1090</v>
      </c>
      <c r="H33" s="77">
        <f>IF(OR($B$11=0,$B$18=0,$A$24=0,$B$16=$AS$16),"",IF(OR($B$16=$A$13,$B$16=$AS$13),H221,ROUNDDOWN(AVERAGE(I60,H60)/12*0.3,0)))</f>
        <v>1260</v>
      </c>
      <c r="I33" s="77">
        <f>IF(OR($B$11=0,$B$18=0,$A$24=0,$B$16=$AS$16),"",IF(OR($B$16=$A$13,$B$16=$AS$13),I221,ROUNDDOWN(0.3*J60/12,0)))</f>
        <v>1406</v>
      </c>
      <c r="J33" s="78">
        <f>IF(OR($B$11=0,$B$18=0,$A$24=0,$B$16=$AS$16),"",IF(OR($B$16=$A$13,$B$16=$AS$13),J221,ROUNDDOWN(AVERAGE(K60,L60)/12*0.3,0)))</f>
        <v>1551</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3085</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3087</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8480</v>
      </c>
      <c r="F44" s="32">
        <f t="shared" ref="F44:L44" si="8">F47/5*2</f>
        <v>9700</v>
      </c>
      <c r="G44" s="32">
        <f t="shared" si="8"/>
        <v>10900</v>
      </c>
      <c r="H44" s="32">
        <f t="shared" si="8"/>
        <v>12120</v>
      </c>
      <c r="I44" s="32">
        <f t="shared" si="8"/>
        <v>13080</v>
      </c>
      <c r="J44" s="32">
        <f t="shared" si="8"/>
        <v>14060</v>
      </c>
      <c r="K44" s="32">
        <f t="shared" si="8"/>
        <v>15020</v>
      </c>
      <c r="L44" s="33">
        <f t="shared" si="8"/>
        <v>16000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12720</v>
      </c>
      <c r="F45" s="15">
        <f t="array" ref="F45">+MAX(IF($B63:$B85=1,F63:F85))</f>
        <v>14550</v>
      </c>
      <c r="G45" s="15">
        <f t="array" ref="G45">+MAX(IF($B63:$B85=1,G63:G85))</f>
        <v>16350</v>
      </c>
      <c r="H45" s="15">
        <f t="array" ref="H45">+MAX(IF($B63:$B85=1,H63:H85))</f>
        <v>18180</v>
      </c>
      <c r="I45" s="15">
        <f t="array" ref="I45">+MAX(IF($B63:$B85=1,I63:I85))</f>
        <v>19620</v>
      </c>
      <c r="J45" s="15">
        <f t="array" ref="J45">+MAX(IF($B63:$B85=1,J63:J85))</f>
        <v>21090</v>
      </c>
      <c r="K45" s="15">
        <f t="array" ref="K45">+MAX(IF($B63:$B85=1,K63:K85))</f>
        <v>22530</v>
      </c>
      <c r="L45" s="16">
        <f t="array" ref="L45">+MAX(IF($B63:$B85=1,L63:L85))</f>
        <v>24000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16960</v>
      </c>
      <c r="F46" s="15">
        <f t="array" ref="F46">+MAX(IF($B87:$B109=1,F87:F109))</f>
        <v>19400</v>
      </c>
      <c r="G46" s="15">
        <f t="array" ref="G46">+MAX(IF($B87:$B109=1,G87:G109))</f>
        <v>21800</v>
      </c>
      <c r="H46" s="15">
        <f t="array" ref="H46">+MAX(IF($B87:$B109=1,H87:H109))</f>
        <v>24240</v>
      </c>
      <c r="I46" s="15">
        <f t="array" ref="I46">+MAX(IF($B87:$B109=1,I87:I109))</f>
        <v>26160</v>
      </c>
      <c r="J46" s="15">
        <f t="array" ref="J46">+MAX(IF($B87:$B109=1,J87:J109))</f>
        <v>28120</v>
      </c>
      <c r="K46" s="15">
        <f t="array" ref="K46">+MAX(IF($B87:$B109=1,K87:K109))</f>
        <v>30040</v>
      </c>
      <c r="L46" s="16">
        <f t="array" ref="L46">+MAX(IF($B87:$B109=1,L87:L109))</f>
        <v>32000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21200</v>
      </c>
      <c r="F47" s="15">
        <f t="array" ref="F47">+MAX(IF($B111:$B133=1,F111:F133))</f>
        <v>24250</v>
      </c>
      <c r="G47" s="15">
        <f t="array" ref="G47">+MAX(IF($B111:$B133=1,G111:G133))</f>
        <v>27250</v>
      </c>
      <c r="H47" s="15">
        <f t="array" ref="H47">+MAX(IF($B111:$B133=1,H111:H133))</f>
        <v>30300</v>
      </c>
      <c r="I47" s="15">
        <f t="array" ref="I47">+MAX(IF($B111:$B133=1,I111:I133))</f>
        <v>32700</v>
      </c>
      <c r="J47" s="15">
        <f t="array" ref="J47">+MAX(IF($B111:$B133=1,J111:J133))</f>
        <v>35150</v>
      </c>
      <c r="K47" s="15">
        <f t="array" ref="K47">+MAX(IF($B111:$B133=1,K111:K133))</f>
        <v>37550</v>
      </c>
      <c r="L47" s="16">
        <f t="array" ref="L47">+MAX(IF($B111:$B133=1,L111:L133))</f>
        <v>40000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25440</v>
      </c>
      <c r="F48" s="15">
        <f t="array" ref="F48">+MAX(IF($B135:$B157=1,F135:F157))</f>
        <v>29100</v>
      </c>
      <c r="G48" s="15">
        <f t="array" ref="G48">+MAX(IF($B135:$B157=1,G135:G157))</f>
        <v>32700</v>
      </c>
      <c r="H48" s="15">
        <f t="array" ref="H48">+MAX(IF($B135:$B157=1,H135:H157))</f>
        <v>36360</v>
      </c>
      <c r="I48" s="15">
        <f t="array" ref="I48">+MAX(IF($B135:$B157=1,I135:I157))</f>
        <v>39240</v>
      </c>
      <c r="J48" s="15">
        <f t="array" ref="J48">+MAX(IF($B135:$B157=1,J135:J157))</f>
        <v>42180</v>
      </c>
      <c r="K48" s="15">
        <f t="array" ref="K48">+MAX(IF($B135:$B157=1,K135:K157))</f>
        <v>45060</v>
      </c>
      <c r="L48" s="16">
        <f t="array" ref="L48">+MAX(IF($B135:$B157=1,L135:L157))</f>
        <v>48000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29680</v>
      </c>
      <c r="F49" s="15">
        <f t="shared" ref="F49:L49" si="9">F47/5*7</f>
        <v>33950</v>
      </c>
      <c r="G49" s="15">
        <f t="shared" si="9"/>
        <v>38150</v>
      </c>
      <c r="H49" s="15">
        <f t="shared" si="9"/>
        <v>42420</v>
      </c>
      <c r="I49" s="15">
        <f t="shared" si="9"/>
        <v>45780</v>
      </c>
      <c r="J49" s="15">
        <f t="shared" si="9"/>
        <v>49210</v>
      </c>
      <c r="K49" s="15">
        <f t="shared" si="9"/>
        <v>52570</v>
      </c>
      <c r="L49" s="16">
        <f t="shared" si="9"/>
        <v>56000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33920</v>
      </c>
      <c r="F50" s="17">
        <f t="array" ref="F50">+MAX(IF($B159:$B181=1,F159:F181))</f>
        <v>38800</v>
      </c>
      <c r="G50" s="17">
        <f t="array" ref="G50">+MAX(IF($B159:$B181=1,G159:G181))</f>
        <v>43600</v>
      </c>
      <c r="H50" s="17">
        <f t="array" ref="H50">+MAX(IF($B159:$B181=1,H159:H181))</f>
        <v>48480</v>
      </c>
      <c r="I50" s="17">
        <f t="array" ref="I50">+MAX(IF($B159:$B181=1,I159:I181))</f>
        <v>52320</v>
      </c>
      <c r="J50" s="17">
        <f t="array" ref="J50">+MAX(IF($B159:$B181=1,J159:J181))</f>
        <v>56240</v>
      </c>
      <c r="K50" s="17">
        <f t="array" ref="K50">+MAX(IF($B159:$B181=1,K159:K181))</f>
        <v>60080</v>
      </c>
      <c r="L50" s="18">
        <f t="array" ref="L50">+MAX(IF($B159:$B181=1,L159:L181))</f>
        <v>64000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3006</v>
      </c>
      <c r="BG53" s="6">
        <f t="shared" si="7"/>
        <v>23</v>
      </c>
    </row>
    <row r="54" spans="1:59" hidden="1">
      <c r="A54" s="79"/>
      <c r="D54" s="269">
        <v>20</v>
      </c>
      <c r="E54" s="271">
        <f>E57/5*2</f>
        <v>8480</v>
      </c>
      <c r="F54" s="32">
        <f t="shared" ref="F54:L54" si="10">F57/5*2</f>
        <v>9700</v>
      </c>
      <c r="G54" s="32">
        <f t="shared" si="10"/>
        <v>10900</v>
      </c>
      <c r="H54" s="32">
        <f t="shared" si="10"/>
        <v>12120</v>
      </c>
      <c r="I54" s="32">
        <f t="shared" si="10"/>
        <v>13080</v>
      </c>
      <c r="J54" s="32">
        <f t="shared" si="10"/>
        <v>14060</v>
      </c>
      <c r="K54" s="32">
        <f t="shared" si="10"/>
        <v>15020</v>
      </c>
      <c r="L54" s="33">
        <f t="shared" si="10"/>
        <v>16000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12720</v>
      </c>
      <c r="F55" s="15">
        <f t="array" ref="F55">+MAX(IF($C63:$C85=1,F63:F85))</f>
        <v>14550</v>
      </c>
      <c r="G55" s="15">
        <f t="array" ref="G55">+MAX(IF($C63:$C85=1,G63:G85))</f>
        <v>16350</v>
      </c>
      <c r="H55" s="15">
        <f t="array" ref="H55">+MAX(IF($C63:$C85=1,H63:H85))</f>
        <v>18180</v>
      </c>
      <c r="I55" s="15">
        <f t="array" ref="I55">+MAX(IF($C63:$C85=1,I63:I85))</f>
        <v>19620</v>
      </c>
      <c r="J55" s="15">
        <f t="array" ref="J55">+MAX(IF($C63:$C85=1,J63:J85))</f>
        <v>21090</v>
      </c>
      <c r="K55" s="15">
        <f t="array" ref="K55">+MAX(IF($C63:$C85=1,K63:K85))</f>
        <v>22530</v>
      </c>
      <c r="L55" s="16">
        <f t="array" ref="L55">+MAX(IF($C63:$C85=1,L63:L85))</f>
        <v>24000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16960</v>
      </c>
      <c r="F56" s="15">
        <f t="array" ref="F56">+MAX(IF($C87:$C109=1,F87:F109))</f>
        <v>19400</v>
      </c>
      <c r="G56" s="15">
        <f t="array" ref="G56">+MAX(IF($C87:$C109=1,G87:G109))</f>
        <v>21800</v>
      </c>
      <c r="H56" s="15">
        <f t="array" ref="H56">+MAX(IF($C87:$C109=1,H87:H109))</f>
        <v>24240</v>
      </c>
      <c r="I56" s="15">
        <f t="array" ref="I56">+MAX(IF($C87:$C109=1,I87:I109))</f>
        <v>26160</v>
      </c>
      <c r="J56" s="15">
        <f t="array" ref="J56">+MAX(IF($C87:$C109=1,J87:J109))</f>
        <v>28120</v>
      </c>
      <c r="K56" s="15">
        <f t="array" ref="K56">+MAX(IF($C87:$C109=1,K87:K109))</f>
        <v>30040</v>
      </c>
      <c r="L56" s="16">
        <f t="array" ref="L56">+MAX(IF($C87:$C109=1,L87:L109))</f>
        <v>32000</v>
      </c>
      <c r="AT56" s="9" t="s">
        <v>124</v>
      </c>
      <c r="AW56" s="286" t="s">
        <v>2817</v>
      </c>
      <c r="AX56" s="292" t="s">
        <v>1023</v>
      </c>
      <c r="AY56" s="287" t="s">
        <v>1114</v>
      </c>
      <c r="AZ56" s="217" t="s">
        <v>1506</v>
      </c>
      <c r="BA56" s="285" t="s">
        <v>1508</v>
      </c>
      <c r="BB56" s="285" t="s">
        <v>1119</v>
      </c>
      <c r="BC56" s="285" t="s">
        <v>1119</v>
      </c>
      <c r="BD56" s="291" t="s">
        <v>1421</v>
      </c>
      <c r="BE56" s="291" t="s">
        <v>1088</v>
      </c>
      <c r="BF56" s="285" t="s">
        <v>3007</v>
      </c>
      <c r="BG56" s="6">
        <f t="shared" si="7"/>
        <v>26</v>
      </c>
    </row>
    <row r="57" spans="1:59" hidden="1">
      <c r="A57" s="79"/>
      <c r="D57" s="269">
        <v>50</v>
      </c>
      <c r="E57" s="34">
        <f t="array" ref="E57">+MAX(IF($C111:$C133=1,E111:E133))</f>
        <v>21200</v>
      </c>
      <c r="F57" s="15">
        <f t="array" ref="F57">+MAX(IF($C111:$C133=1,F111:F133))</f>
        <v>24250</v>
      </c>
      <c r="G57" s="15">
        <f t="array" ref="G57">+MAX(IF($C111:$C133=1,G111:G133))</f>
        <v>27250</v>
      </c>
      <c r="H57" s="15">
        <f t="array" ref="H57">+MAX(IF($C111:$C133=1,H111:H133))</f>
        <v>30300</v>
      </c>
      <c r="I57" s="15">
        <f t="array" ref="I57">+MAX(IF($C111:$C133=1,I111:I133))</f>
        <v>32700</v>
      </c>
      <c r="J57" s="15">
        <f t="array" ref="J57">+MAX(IF($C111:$C133=1,J111:J133))</f>
        <v>35150</v>
      </c>
      <c r="K57" s="15">
        <f t="array" ref="K57">+MAX(IF($C111:$C133=1,K111:K133))</f>
        <v>37550</v>
      </c>
      <c r="L57" s="16">
        <f t="array" ref="L57">+MAX(IF($C111:$C133=1,L111:L133))</f>
        <v>40000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25440</v>
      </c>
      <c r="F58" s="15">
        <f t="array" ref="F58">+MAX(IF($C135:$C157=1,F135:F157))</f>
        <v>29100</v>
      </c>
      <c r="G58" s="15">
        <f t="array" ref="G58">+MAX(IF($C135:$C157=1,G135:G157))</f>
        <v>32700</v>
      </c>
      <c r="H58" s="15">
        <f t="array" ref="H58">+MAX(IF($C135:$C157=1,H135:H157))</f>
        <v>36360</v>
      </c>
      <c r="I58" s="15">
        <f t="array" ref="I58">+MAX(IF($C135:$C157=1,I135:I157))</f>
        <v>39240</v>
      </c>
      <c r="J58" s="15">
        <f t="array" ref="J58">+MAX(IF($C135:$C157=1,J135:J157))</f>
        <v>42180</v>
      </c>
      <c r="K58" s="15">
        <f t="array" ref="K58">+MAX(IF($C135:$C157=1,K135:K157))</f>
        <v>45060</v>
      </c>
      <c r="L58" s="16">
        <f t="array" ref="L58">+MAX(IF($C135:$C157=1,L135:L157))</f>
        <v>48000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29680</v>
      </c>
      <c r="F59" s="15">
        <f t="shared" ref="F59:L59" si="11">F57/5*7</f>
        <v>33950</v>
      </c>
      <c r="G59" s="15">
        <f t="shared" si="11"/>
        <v>38150</v>
      </c>
      <c r="H59" s="15">
        <f t="shared" si="11"/>
        <v>42420</v>
      </c>
      <c r="I59" s="15">
        <f t="shared" si="11"/>
        <v>45780</v>
      </c>
      <c r="J59" s="15">
        <f t="shared" si="11"/>
        <v>49210</v>
      </c>
      <c r="K59" s="15">
        <f t="shared" si="11"/>
        <v>52570</v>
      </c>
      <c r="L59" s="16">
        <f t="shared" si="11"/>
        <v>56000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33920</v>
      </c>
      <c r="F60" s="17">
        <f t="array" ref="F60">+MAX(IF($C159:$C181=1,F159:F181))</f>
        <v>38800</v>
      </c>
      <c r="G60" s="17">
        <f t="array" ref="G60">+MAX(IF($C159:$C181=1,G159:G181))</f>
        <v>43600</v>
      </c>
      <c r="H60" s="17">
        <f t="array" ref="H60">+MAX(IF($C159:$C181=1,H159:H181))</f>
        <v>48480</v>
      </c>
      <c r="I60" s="17">
        <f t="array" ref="I60">+MAX(IF($C159:$C181=1,I159:I181))</f>
        <v>52320</v>
      </c>
      <c r="J60" s="17">
        <f t="array" ref="J60">+MAX(IF($C159:$C181=1,J159:J181))</f>
        <v>56240</v>
      </c>
      <c r="K60" s="17">
        <f t="array" ref="K60">+MAX(IF($C159:$C181=1,K159:K181))</f>
        <v>60080</v>
      </c>
      <c r="L60" s="18">
        <f t="array" ref="L60">+MAX(IF($C159:$C181=1,L159:L181))</f>
        <v>64000</v>
      </c>
      <c r="AT60" s="9" t="s">
        <v>127</v>
      </c>
      <c r="AW60" s="286" t="s">
        <v>1340</v>
      </c>
      <c r="AX60" s="292" t="s">
        <v>1024</v>
      </c>
      <c r="AY60" s="287" t="s">
        <v>1118</v>
      </c>
      <c r="AZ60" s="217" t="s">
        <v>1508</v>
      </c>
      <c r="BA60" s="285" t="s">
        <v>1104</v>
      </c>
      <c r="BB60" s="285" t="s">
        <v>1123</v>
      </c>
      <c r="BC60" s="285" t="s">
        <v>1123</v>
      </c>
      <c r="BD60" s="291" t="s">
        <v>78</v>
      </c>
      <c r="BE60" s="291" t="s">
        <v>1090</v>
      </c>
      <c r="BF60" s="285" t="s">
        <v>3008</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10080</v>
      </c>
      <c r="F63" s="298">
        <f t="shared" si="14"/>
        <v>11520</v>
      </c>
      <c r="G63" s="298">
        <f t="shared" si="14"/>
        <v>12960</v>
      </c>
      <c r="H63" s="298">
        <f t="shared" si="14"/>
        <v>14400</v>
      </c>
      <c r="I63" s="298">
        <f t="shared" si="14"/>
        <v>15570</v>
      </c>
      <c r="J63" s="298">
        <f t="shared" si="14"/>
        <v>16710</v>
      </c>
      <c r="K63" s="298">
        <f t="shared" si="14"/>
        <v>17880</v>
      </c>
      <c r="L63" s="298">
        <f t="shared" si="14"/>
        <v>19020</v>
      </c>
      <c r="N63" s="91" t="str">
        <f>CONCATENATE($AU$10,$B$11,$N$62)</f>
        <v>Before 12-31-2008Anderson30</v>
      </c>
      <c r="P63" s="194">
        <f>VLOOKUP($N63,'pre 12-31-08'!$A$4:$L$1400,E$62+3,FALSE)</f>
        <v>10080</v>
      </c>
      <c r="Q63" s="194">
        <f>VLOOKUP($N63,'pre 12-31-08'!$A$4:$L$1400,F$62+3,FALSE)</f>
        <v>11520</v>
      </c>
      <c r="R63" s="194">
        <f>VLOOKUP($N63,'pre 12-31-08'!$A$4:$L$1400,G$62+3,FALSE)</f>
        <v>12960</v>
      </c>
      <c r="S63" s="194">
        <f>VLOOKUP($N63,'pre 12-31-08'!$A$4:$L$1400,H$62+3,FALSE)</f>
        <v>14400</v>
      </c>
      <c r="T63" s="194">
        <f>VLOOKUP($N63,'pre 12-31-08'!$A$4:$L$1400,I$62+3,FALSE)</f>
        <v>15570</v>
      </c>
      <c r="U63" s="194">
        <f>VLOOKUP($N63,'pre 12-31-08'!$A$4:$L$1400,J$62+3,FALSE)</f>
        <v>16710</v>
      </c>
      <c r="V63" s="194">
        <f>VLOOKUP($N63,'pre 12-31-08'!$A$4:$L$1400,K$62+3,FALSE)</f>
        <v>17880</v>
      </c>
      <c r="W63" s="194">
        <f>VLOOKUP($N63,'pre 12-31-08'!$A$4:$L$1400,L$62+3,FALSE)</f>
        <v>19020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10830</v>
      </c>
      <c r="F64" s="298">
        <f t="shared" si="14"/>
        <v>12390</v>
      </c>
      <c r="G64" s="298">
        <f t="shared" si="14"/>
        <v>13920</v>
      </c>
      <c r="H64" s="298">
        <f t="shared" si="14"/>
        <v>15480</v>
      </c>
      <c r="I64" s="298">
        <f t="shared" si="14"/>
        <v>16710</v>
      </c>
      <c r="J64" s="298">
        <f t="shared" si="14"/>
        <v>17970</v>
      </c>
      <c r="K64" s="298">
        <f t="shared" si="14"/>
        <v>19200</v>
      </c>
      <c r="L64" s="298">
        <f t="shared" si="14"/>
        <v>20430</v>
      </c>
      <c r="N64" s="91" t="str">
        <f>CONCATENATE($AU$11,$B$11,$N$62)</f>
        <v>1/1/2009 - 5/13/2010Anderson30</v>
      </c>
      <c r="P64" s="194">
        <f>VLOOKUP($N64,'1-1-09-5-14-10'!$A$4:$L$1400,E$62+3,FALSE)</f>
        <v>10080</v>
      </c>
      <c r="Q64" s="194">
        <f>VLOOKUP($N64,'1-1-09-5-14-10'!$A$4:$L$1400,F$62+3,FALSE)</f>
        <v>11520</v>
      </c>
      <c r="R64" s="194">
        <f>VLOOKUP($N64,'1-1-09-5-14-10'!$A$4:$L$1400,G$62+3,FALSE)</f>
        <v>12960</v>
      </c>
      <c r="S64" s="194">
        <f>VLOOKUP($N64,'1-1-09-5-14-10'!$A$4:$L$1400,H$62+3,FALSE)</f>
        <v>14400</v>
      </c>
      <c r="T64" s="194">
        <f>VLOOKUP($N64,'1-1-09-5-14-10'!$A$4:$L$1400,I$62+3,FALSE)</f>
        <v>15570</v>
      </c>
      <c r="U64" s="194">
        <f>VLOOKUP($N64,'1-1-09-5-14-10'!$A$4:$L$1400,J$62+3,FALSE)</f>
        <v>16710</v>
      </c>
      <c r="V64" s="194">
        <f>VLOOKUP($N64,'1-1-09-5-14-10'!$A$4:$L$1400,K$62+3,FALSE)</f>
        <v>17880</v>
      </c>
      <c r="W64" s="194">
        <f>VLOOKUP($N64,'1-1-09-5-14-10'!$A$4:$L$1400,L$62+3,FALSE)</f>
        <v>19020</v>
      </c>
      <c r="Y64" s="38"/>
      <c r="Z64" s="30"/>
      <c r="AA64" s="30"/>
      <c r="AB64" s="30"/>
      <c r="AC64" s="30"/>
      <c r="AD64" s="30"/>
      <c r="AE64" s="30"/>
      <c r="AF64" s="39"/>
      <c r="AI64" s="194">
        <f t="shared" ref="AI64:AP64" si="16">+AI112/5*3</f>
        <v>10830</v>
      </c>
      <c r="AJ64" s="194">
        <f t="shared" si="16"/>
        <v>12390</v>
      </c>
      <c r="AK64" s="194">
        <f t="shared" si="16"/>
        <v>13920</v>
      </c>
      <c r="AL64" s="194">
        <f t="shared" si="16"/>
        <v>15480</v>
      </c>
      <c r="AM64" s="194">
        <f t="shared" si="16"/>
        <v>16710</v>
      </c>
      <c r="AN64" s="194">
        <f t="shared" si="16"/>
        <v>17970</v>
      </c>
      <c r="AO64" s="194">
        <f t="shared" si="16"/>
        <v>19200</v>
      </c>
      <c r="AP64" s="194">
        <f t="shared" si="16"/>
        <v>20430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10830</v>
      </c>
      <c r="F65" s="299">
        <f t="shared" si="17"/>
        <v>12390</v>
      </c>
      <c r="G65" s="299">
        <f t="shared" si="17"/>
        <v>13920</v>
      </c>
      <c r="H65" s="299">
        <f t="shared" si="17"/>
        <v>15480</v>
      </c>
      <c r="I65" s="299">
        <f t="shared" si="17"/>
        <v>16710</v>
      </c>
      <c r="J65" s="299">
        <f t="shared" si="17"/>
        <v>17970</v>
      </c>
      <c r="K65" s="299">
        <f t="shared" si="17"/>
        <v>19200</v>
      </c>
      <c r="L65" s="299">
        <f t="shared" si="17"/>
        <v>20430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10830</v>
      </c>
      <c r="F66" s="298">
        <f t="shared" si="18"/>
        <v>12390</v>
      </c>
      <c r="G66" s="298">
        <f t="shared" si="18"/>
        <v>13920</v>
      </c>
      <c r="H66" s="298">
        <f t="shared" si="18"/>
        <v>15480</v>
      </c>
      <c r="I66" s="298">
        <f t="shared" si="18"/>
        <v>16710</v>
      </c>
      <c r="J66" s="298">
        <f t="shared" si="18"/>
        <v>17970</v>
      </c>
      <c r="K66" s="298">
        <f t="shared" si="18"/>
        <v>19200</v>
      </c>
      <c r="L66" s="298">
        <f t="shared" si="18"/>
        <v>20430</v>
      </c>
      <c r="N66" s="91" t="str">
        <f>CONCATENATE($AU$13,$B$11,$N$62)</f>
        <v>6/29/2010 - 5/30/2011Anderson30</v>
      </c>
      <c r="P66" s="194">
        <f>VLOOKUP($N66,'5-14-10-5-31-11'!$A$4:$L$1400,E$62+3,FALSE)</f>
        <v>10080</v>
      </c>
      <c r="Q66" s="194">
        <f>VLOOKUP($N66,'5-14-10-5-31-11'!$A$4:$L$1400,F$62+3,FALSE)</f>
        <v>11520</v>
      </c>
      <c r="R66" s="194">
        <f>VLOOKUP($N66,'5-14-10-5-31-11'!$A$4:$L$1400,G$62+3,FALSE)</f>
        <v>12960</v>
      </c>
      <c r="S66" s="194">
        <f>VLOOKUP($N66,'5-14-10-5-31-11'!$A$4:$L$1400,H$62+3,FALSE)</f>
        <v>14400</v>
      </c>
      <c r="T66" s="194">
        <f>VLOOKUP($N66,'5-14-10-5-31-11'!$A$4:$L$1400,I$62+3,FALSE)</f>
        <v>15570</v>
      </c>
      <c r="U66" s="194">
        <f>VLOOKUP($N66,'5-14-10-5-31-11'!$A$4:$L$1400,J$62+3,FALSE)</f>
        <v>16710</v>
      </c>
      <c r="V66" s="194">
        <f>VLOOKUP($N66,'5-14-10-5-31-11'!$A$4:$L$1400,K$62+3,FALSE)</f>
        <v>17880</v>
      </c>
      <c r="W66" s="194">
        <f>VLOOKUP($N66,'5-14-10-5-31-11'!$A$4:$L$1400,L$62+3,FALSE)</f>
        <v>19020</v>
      </c>
      <c r="Y66" s="38"/>
      <c r="Z66" s="30"/>
      <c r="AA66" s="30"/>
      <c r="AB66" s="30"/>
      <c r="AC66" s="30"/>
      <c r="AD66" s="30"/>
      <c r="AE66" s="30"/>
      <c r="AF66" s="39"/>
      <c r="AI66" s="194">
        <f t="shared" ref="AI66:AP66" si="19">+AI114/5*3</f>
        <v>10830</v>
      </c>
      <c r="AJ66" s="194">
        <f t="shared" si="19"/>
        <v>12390</v>
      </c>
      <c r="AK66" s="194">
        <f t="shared" si="19"/>
        <v>13920</v>
      </c>
      <c r="AL66" s="194">
        <f t="shared" si="19"/>
        <v>15480</v>
      </c>
      <c r="AM66" s="194">
        <f t="shared" si="19"/>
        <v>16710</v>
      </c>
      <c r="AN66" s="194">
        <f t="shared" si="19"/>
        <v>17970</v>
      </c>
      <c r="AO66" s="194">
        <f t="shared" si="19"/>
        <v>19200</v>
      </c>
      <c r="AP66" s="194">
        <f t="shared" si="19"/>
        <v>20430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10950</v>
      </c>
      <c r="F67" s="299">
        <f t="shared" si="20"/>
        <v>12510</v>
      </c>
      <c r="G67" s="299">
        <f t="shared" si="20"/>
        <v>14070</v>
      </c>
      <c r="H67" s="299">
        <f t="shared" si="20"/>
        <v>15630</v>
      </c>
      <c r="I67" s="299">
        <f t="shared" si="20"/>
        <v>16890</v>
      </c>
      <c r="J67" s="299">
        <f t="shared" si="20"/>
        <v>18150</v>
      </c>
      <c r="K67" s="299">
        <f t="shared" si="20"/>
        <v>19410</v>
      </c>
      <c r="L67" s="299">
        <f t="shared" si="20"/>
        <v>20640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10950</v>
      </c>
      <c r="F68" s="298">
        <f t="shared" si="21"/>
        <v>12510</v>
      </c>
      <c r="G68" s="298">
        <f t="shared" si="21"/>
        <v>14070</v>
      </c>
      <c r="H68" s="298">
        <f t="shared" si="21"/>
        <v>15630</v>
      </c>
      <c r="I68" s="298">
        <f t="shared" si="21"/>
        <v>16890</v>
      </c>
      <c r="J68" s="298">
        <f t="shared" si="21"/>
        <v>18150</v>
      </c>
      <c r="K68" s="298">
        <f t="shared" si="21"/>
        <v>19410</v>
      </c>
      <c r="L68" s="298">
        <f t="shared" si="21"/>
        <v>20640</v>
      </c>
      <c r="N68" s="168" t="s">
        <v>2103</v>
      </c>
      <c r="P68" s="194">
        <f t="shared" ref="P68:W68" si="22">+P116/5*3</f>
        <v>10590</v>
      </c>
      <c r="Q68" s="194">
        <f t="shared" si="22"/>
        <v>12120</v>
      </c>
      <c r="R68" s="194">
        <f t="shared" si="22"/>
        <v>13620</v>
      </c>
      <c r="S68" s="194">
        <f t="shared" si="22"/>
        <v>15120</v>
      </c>
      <c r="T68" s="194">
        <f t="shared" si="22"/>
        <v>16350</v>
      </c>
      <c r="U68" s="194">
        <f t="shared" si="22"/>
        <v>17550</v>
      </c>
      <c r="V68" s="194">
        <f t="shared" si="22"/>
        <v>18750</v>
      </c>
      <c r="W68" s="194">
        <f t="shared" si="22"/>
        <v>19980</v>
      </c>
      <c r="Y68" s="194">
        <f t="shared" ref="Y68:AF68" si="23">+Y116/5*3</f>
        <v>10950</v>
      </c>
      <c r="Z68" s="194">
        <f t="shared" si="23"/>
        <v>12510</v>
      </c>
      <c r="AA68" s="194">
        <f t="shared" si="23"/>
        <v>14070</v>
      </c>
      <c r="AB68" s="194">
        <f t="shared" si="23"/>
        <v>15630</v>
      </c>
      <c r="AC68" s="194">
        <f t="shared" si="23"/>
        <v>16890</v>
      </c>
      <c r="AD68" s="194">
        <f t="shared" si="23"/>
        <v>18150</v>
      </c>
      <c r="AE68" s="194">
        <f t="shared" si="23"/>
        <v>19410</v>
      </c>
      <c r="AF68" s="194">
        <f t="shared" si="23"/>
        <v>20640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11100</v>
      </c>
      <c r="F69" s="299">
        <f t="shared" ref="F69:L69" si="25">+MAX(F68,F70)</f>
        <v>12690</v>
      </c>
      <c r="G69" s="299">
        <f t="shared" si="25"/>
        <v>14280</v>
      </c>
      <c r="H69" s="299">
        <f t="shared" si="25"/>
        <v>15840</v>
      </c>
      <c r="I69" s="299">
        <f t="shared" si="25"/>
        <v>17130</v>
      </c>
      <c r="J69" s="299">
        <f t="shared" si="25"/>
        <v>18390</v>
      </c>
      <c r="K69" s="299">
        <f t="shared" si="25"/>
        <v>19650</v>
      </c>
      <c r="L69" s="299">
        <f t="shared" si="25"/>
        <v>20910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11100</v>
      </c>
      <c r="F70" s="298">
        <f t="shared" si="26"/>
        <v>12690</v>
      </c>
      <c r="G70" s="298">
        <f t="shared" si="26"/>
        <v>14280</v>
      </c>
      <c r="H70" s="298">
        <f t="shared" si="26"/>
        <v>15840</v>
      </c>
      <c r="I70" s="298">
        <f t="shared" si="26"/>
        <v>17130</v>
      </c>
      <c r="J70" s="298">
        <f t="shared" si="26"/>
        <v>18390</v>
      </c>
      <c r="K70" s="298">
        <f t="shared" si="26"/>
        <v>19650</v>
      </c>
      <c r="L70" s="298">
        <f t="shared" si="26"/>
        <v>20910</v>
      </c>
      <c r="N70" s="168" t="s">
        <v>2105</v>
      </c>
      <c r="P70" s="194">
        <f t="shared" ref="P70:W70" si="27">+P118/5*3</f>
        <v>11100</v>
      </c>
      <c r="Q70" s="194">
        <f t="shared" si="27"/>
        <v>12690</v>
      </c>
      <c r="R70" s="194">
        <f t="shared" si="27"/>
        <v>14280</v>
      </c>
      <c r="S70" s="194">
        <f t="shared" si="27"/>
        <v>15840</v>
      </c>
      <c r="T70" s="194">
        <f t="shared" si="27"/>
        <v>17130</v>
      </c>
      <c r="U70" s="194">
        <f t="shared" si="27"/>
        <v>18390</v>
      </c>
      <c r="V70" s="194">
        <f t="shared" si="27"/>
        <v>19650</v>
      </c>
      <c r="W70" s="194">
        <f t="shared" si="27"/>
        <v>20910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11670</v>
      </c>
      <c r="F71" s="299">
        <f t="shared" si="30"/>
        <v>13320</v>
      </c>
      <c r="G71" s="299">
        <f t="shared" si="30"/>
        <v>15000</v>
      </c>
      <c r="H71" s="299">
        <f t="shared" si="30"/>
        <v>16650</v>
      </c>
      <c r="I71" s="299">
        <f t="shared" si="30"/>
        <v>18000</v>
      </c>
      <c r="J71" s="299">
        <f t="shared" si="30"/>
        <v>19320</v>
      </c>
      <c r="K71" s="299">
        <f t="shared" si="30"/>
        <v>20670</v>
      </c>
      <c r="L71" s="299">
        <f t="shared" si="30"/>
        <v>21990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3009</v>
      </c>
      <c r="BG71" s="6">
        <f>+MATCH(BE$10:BE$558,AZ$10:AZ$551,0)</f>
        <v>34</v>
      </c>
    </row>
    <row r="72" spans="1:59" hidden="1">
      <c r="A72" s="89">
        <f t="shared" si="12"/>
        <v>0</v>
      </c>
      <c r="B72" s="89">
        <f t="shared" si="15"/>
        <v>1</v>
      </c>
      <c r="C72" s="89">
        <f t="shared" si="13"/>
        <v>1</v>
      </c>
      <c r="E72" s="298">
        <f t="shared" ref="E72:L72" si="31">+MAX(P72,Y72,AI72)</f>
        <v>11670</v>
      </c>
      <c r="F72" s="298">
        <f t="shared" si="31"/>
        <v>13320</v>
      </c>
      <c r="G72" s="298">
        <f t="shared" si="31"/>
        <v>15000</v>
      </c>
      <c r="H72" s="298">
        <f t="shared" si="31"/>
        <v>16650</v>
      </c>
      <c r="I72" s="298">
        <f t="shared" si="31"/>
        <v>18000</v>
      </c>
      <c r="J72" s="298">
        <f t="shared" si="31"/>
        <v>19320</v>
      </c>
      <c r="K72" s="298">
        <f t="shared" si="31"/>
        <v>20670</v>
      </c>
      <c r="L72" s="298">
        <f t="shared" si="31"/>
        <v>21990</v>
      </c>
      <c r="N72" s="168" t="s">
        <v>2123</v>
      </c>
      <c r="P72" s="194">
        <f t="shared" ref="P72:W72" si="32">+P120/5*3</f>
        <v>11640</v>
      </c>
      <c r="Q72" s="194">
        <f t="shared" si="32"/>
        <v>13320</v>
      </c>
      <c r="R72" s="194">
        <f t="shared" si="32"/>
        <v>14970</v>
      </c>
      <c r="S72" s="194">
        <f t="shared" si="32"/>
        <v>16620</v>
      </c>
      <c r="T72" s="194">
        <f t="shared" si="32"/>
        <v>17970</v>
      </c>
      <c r="U72" s="194">
        <f t="shared" si="32"/>
        <v>19290</v>
      </c>
      <c r="V72" s="194">
        <f t="shared" si="32"/>
        <v>20610</v>
      </c>
      <c r="W72" s="194">
        <f t="shared" si="32"/>
        <v>21960</v>
      </c>
      <c r="Y72" s="194">
        <f t="shared" ref="Y72:AF72" si="33">+Y120/5*3</f>
        <v>11670</v>
      </c>
      <c r="Z72" s="194">
        <f t="shared" si="33"/>
        <v>13320</v>
      </c>
      <c r="AA72" s="194">
        <f t="shared" si="33"/>
        <v>15000</v>
      </c>
      <c r="AB72" s="194">
        <f t="shared" si="33"/>
        <v>16650</v>
      </c>
      <c r="AC72" s="194">
        <f t="shared" si="33"/>
        <v>18000</v>
      </c>
      <c r="AD72" s="194">
        <f t="shared" si="33"/>
        <v>19320</v>
      </c>
      <c r="AE72" s="194">
        <f t="shared" si="33"/>
        <v>20670</v>
      </c>
      <c r="AF72" s="194">
        <f t="shared" si="33"/>
        <v>21990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11670</v>
      </c>
      <c r="F73" s="299">
        <f t="shared" si="36"/>
        <v>13320</v>
      </c>
      <c r="G73" s="299">
        <f t="shared" si="36"/>
        <v>15000</v>
      </c>
      <c r="H73" s="299">
        <f t="shared" si="36"/>
        <v>16650</v>
      </c>
      <c r="I73" s="299">
        <f t="shared" si="36"/>
        <v>18000</v>
      </c>
      <c r="J73" s="299">
        <f t="shared" si="36"/>
        <v>19320</v>
      </c>
      <c r="K73" s="299">
        <f t="shared" si="36"/>
        <v>20670</v>
      </c>
      <c r="L73" s="299">
        <f t="shared" si="36"/>
        <v>21990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11670</v>
      </c>
      <c r="F74" s="298">
        <f t="shared" si="37"/>
        <v>13320</v>
      </c>
      <c r="G74" s="298">
        <f t="shared" si="37"/>
        <v>15000</v>
      </c>
      <c r="H74" s="298">
        <f t="shared" si="37"/>
        <v>16650</v>
      </c>
      <c r="I74" s="298">
        <f t="shared" si="37"/>
        <v>18000</v>
      </c>
      <c r="J74" s="298">
        <f t="shared" si="37"/>
        <v>19320</v>
      </c>
      <c r="K74" s="298">
        <f t="shared" si="37"/>
        <v>20670</v>
      </c>
      <c r="L74" s="298">
        <f t="shared" si="37"/>
        <v>21990</v>
      </c>
      <c r="N74" s="95" t="s">
        <v>2187</v>
      </c>
      <c r="P74" s="194">
        <f t="shared" ref="P74:W74" si="38">+P122/5*3</f>
        <v>11400</v>
      </c>
      <c r="Q74" s="194">
        <f t="shared" si="38"/>
        <v>13020</v>
      </c>
      <c r="R74" s="194">
        <f t="shared" si="38"/>
        <v>14640</v>
      </c>
      <c r="S74" s="194">
        <f t="shared" si="38"/>
        <v>16260</v>
      </c>
      <c r="T74" s="194">
        <f t="shared" si="38"/>
        <v>17580</v>
      </c>
      <c r="U74" s="194">
        <f t="shared" si="38"/>
        <v>18870</v>
      </c>
      <c r="V74" s="194">
        <f t="shared" si="38"/>
        <v>20190</v>
      </c>
      <c r="W74" s="194">
        <f t="shared" si="38"/>
        <v>21480</v>
      </c>
      <c r="Y74" s="194">
        <f t="shared" ref="Y74:AF74" si="39">+Y122/5*3</f>
        <v>11670</v>
      </c>
      <c r="Z74" s="194">
        <f t="shared" si="39"/>
        <v>13320</v>
      </c>
      <c r="AA74" s="194">
        <f t="shared" si="39"/>
        <v>15000</v>
      </c>
      <c r="AB74" s="194">
        <f t="shared" si="39"/>
        <v>16650</v>
      </c>
      <c r="AC74" s="194">
        <f t="shared" si="39"/>
        <v>18000</v>
      </c>
      <c r="AD74" s="194">
        <f t="shared" si="39"/>
        <v>19320</v>
      </c>
      <c r="AE74" s="194">
        <f t="shared" si="39"/>
        <v>20670</v>
      </c>
      <c r="AF74" s="194">
        <f t="shared" si="39"/>
        <v>21990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11670</v>
      </c>
      <c r="F75" s="299">
        <f t="shared" ref="F75:L75" si="42">+MAX(F74,F76)</f>
        <v>13320</v>
      </c>
      <c r="G75" s="299">
        <f t="shared" si="42"/>
        <v>15000</v>
      </c>
      <c r="H75" s="299">
        <f t="shared" si="42"/>
        <v>16650</v>
      </c>
      <c r="I75" s="299">
        <f t="shared" si="42"/>
        <v>18000</v>
      </c>
      <c r="J75" s="299">
        <f t="shared" si="42"/>
        <v>19320</v>
      </c>
      <c r="K75" s="299">
        <f t="shared" si="42"/>
        <v>20670</v>
      </c>
      <c r="L75" s="299">
        <f t="shared" si="42"/>
        <v>21990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3010</v>
      </c>
    </row>
    <row r="76" spans="1:59" hidden="1">
      <c r="A76" s="188">
        <f t="shared" si="35"/>
        <v>0</v>
      </c>
      <c r="B76" s="188">
        <f t="shared" si="15"/>
        <v>1</v>
      </c>
      <c r="C76" s="188">
        <f t="shared" si="41"/>
        <v>1</v>
      </c>
      <c r="E76" s="300">
        <f t="shared" ref="E76:L76" si="43">+MAX(P76,Y76,AI76)</f>
        <v>11670</v>
      </c>
      <c r="F76" s="300">
        <f t="shared" si="43"/>
        <v>13320</v>
      </c>
      <c r="G76" s="300">
        <f t="shared" si="43"/>
        <v>15000</v>
      </c>
      <c r="H76" s="300">
        <f t="shared" si="43"/>
        <v>16650</v>
      </c>
      <c r="I76" s="300">
        <f t="shared" si="43"/>
        <v>18000</v>
      </c>
      <c r="J76" s="300">
        <f t="shared" si="43"/>
        <v>19320</v>
      </c>
      <c r="K76" s="300">
        <f t="shared" si="43"/>
        <v>20670</v>
      </c>
      <c r="L76" s="300">
        <f t="shared" si="43"/>
        <v>21990</v>
      </c>
      <c r="N76" s="95" t="s">
        <v>2226</v>
      </c>
      <c r="P76" s="194">
        <f t="shared" ref="P76:W76" si="44">+P124/5*3</f>
        <v>11550</v>
      </c>
      <c r="Q76" s="194">
        <f t="shared" si="44"/>
        <v>13200</v>
      </c>
      <c r="R76" s="194">
        <f t="shared" si="44"/>
        <v>14850</v>
      </c>
      <c r="S76" s="194">
        <f t="shared" si="44"/>
        <v>16500</v>
      </c>
      <c r="T76" s="194">
        <f t="shared" si="44"/>
        <v>17820</v>
      </c>
      <c r="U76" s="194">
        <f t="shared" si="44"/>
        <v>19140</v>
      </c>
      <c r="V76" s="194">
        <f t="shared" si="44"/>
        <v>20460</v>
      </c>
      <c r="W76" s="194">
        <f t="shared" si="44"/>
        <v>21780</v>
      </c>
      <c r="Y76" s="194">
        <f t="shared" ref="Y76:AF76" si="45">+Y124/5*3</f>
        <v>11670</v>
      </c>
      <c r="Z76" s="194">
        <f t="shared" si="45"/>
        <v>13320</v>
      </c>
      <c r="AA76" s="194">
        <f t="shared" si="45"/>
        <v>15000</v>
      </c>
      <c r="AB76" s="194">
        <f t="shared" si="45"/>
        <v>16650</v>
      </c>
      <c r="AC76" s="194">
        <f t="shared" si="45"/>
        <v>18000</v>
      </c>
      <c r="AD76" s="194">
        <f t="shared" si="45"/>
        <v>19320</v>
      </c>
      <c r="AE76" s="194">
        <f t="shared" si="45"/>
        <v>20670</v>
      </c>
      <c r="AF76" s="194">
        <f t="shared" si="45"/>
        <v>21990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11670</v>
      </c>
      <c r="F77" s="299">
        <f t="shared" ref="F77:L77" si="47">+MAX(F76,F78)</f>
        <v>13320</v>
      </c>
      <c r="G77" s="299">
        <f t="shared" si="47"/>
        <v>15000</v>
      </c>
      <c r="H77" s="299">
        <f t="shared" si="47"/>
        <v>16650</v>
      </c>
      <c r="I77" s="299">
        <f t="shared" si="47"/>
        <v>18000</v>
      </c>
      <c r="J77" s="299">
        <f t="shared" si="47"/>
        <v>19320</v>
      </c>
      <c r="K77" s="299">
        <f t="shared" si="47"/>
        <v>20670</v>
      </c>
      <c r="L77" s="299">
        <f t="shared" si="47"/>
        <v>21990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11670</v>
      </c>
      <c r="F78" s="300">
        <f t="shared" si="49"/>
        <v>13320</v>
      </c>
      <c r="G78" s="300">
        <f t="shared" si="49"/>
        <v>15000</v>
      </c>
      <c r="H78" s="300">
        <f t="shared" si="49"/>
        <v>16650</v>
      </c>
      <c r="I78" s="300">
        <f t="shared" si="49"/>
        <v>18000</v>
      </c>
      <c r="J78" s="300">
        <f t="shared" si="49"/>
        <v>19320</v>
      </c>
      <c r="K78" s="300">
        <f t="shared" si="49"/>
        <v>20670</v>
      </c>
      <c r="L78" s="300">
        <f t="shared" si="49"/>
        <v>21990</v>
      </c>
      <c r="M78" s="207"/>
      <c r="N78" s="95" t="str">
        <f>AU25</f>
        <v>5/13/2016 - 4/13/2017</v>
      </c>
      <c r="O78" s="207"/>
      <c r="P78" s="197">
        <f t="shared" ref="P78:W78" si="50">+P126*0.6</f>
        <v>11250</v>
      </c>
      <c r="Q78" s="197">
        <f t="shared" si="50"/>
        <v>12840</v>
      </c>
      <c r="R78" s="197">
        <f t="shared" si="50"/>
        <v>14460</v>
      </c>
      <c r="S78" s="197">
        <f t="shared" si="50"/>
        <v>16050</v>
      </c>
      <c r="T78" s="197">
        <f t="shared" si="50"/>
        <v>17340</v>
      </c>
      <c r="U78" s="197">
        <f t="shared" si="50"/>
        <v>18630</v>
      </c>
      <c r="V78" s="197">
        <f t="shared" si="50"/>
        <v>19920</v>
      </c>
      <c r="W78" s="197">
        <f t="shared" si="50"/>
        <v>21210</v>
      </c>
      <c r="X78" s="207"/>
      <c r="Y78" s="197">
        <f t="shared" ref="Y78:AF78" si="51">+Y126*0.6</f>
        <v>11670</v>
      </c>
      <c r="Z78" s="197">
        <f t="shared" si="51"/>
        <v>13320</v>
      </c>
      <c r="AA78" s="197">
        <f t="shared" si="51"/>
        <v>15000</v>
      </c>
      <c r="AB78" s="197">
        <f t="shared" si="51"/>
        <v>16650</v>
      </c>
      <c r="AC78" s="197">
        <f t="shared" si="51"/>
        <v>18000</v>
      </c>
      <c r="AD78" s="197">
        <f t="shared" si="51"/>
        <v>19320</v>
      </c>
      <c r="AE78" s="197">
        <f t="shared" si="51"/>
        <v>20670</v>
      </c>
      <c r="AF78" s="197">
        <f t="shared" si="51"/>
        <v>21990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11760</v>
      </c>
      <c r="F79" s="299">
        <f t="shared" si="53"/>
        <v>13440</v>
      </c>
      <c r="G79" s="299">
        <f t="shared" si="53"/>
        <v>15120</v>
      </c>
      <c r="H79" s="299">
        <f t="shared" si="53"/>
        <v>16800</v>
      </c>
      <c r="I79" s="299">
        <f t="shared" si="53"/>
        <v>18150</v>
      </c>
      <c r="J79" s="299">
        <f t="shared" si="53"/>
        <v>19500</v>
      </c>
      <c r="K79" s="299">
        <f t="shared" si="53"/>
        <v>20850</v>
      </c>
      <c r="L79" s="299">
        <f t="shared" si="53"/>
        <v>22200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11760</v>
      </c>
      <c r="F80" s="301">
        <f t="shared" si="54"/>
        <v>13440</v>
      </c>
      <c r="G80" s="301">
        <f t="shared" si="54"/>
        <v>15120</v>
      </c>
      <c r="H80" s="301">
        <f t="shared" si="54"/>
        <v>16800</v>
      </c>
      <c r="I80" s="301">
        <f t="shared" si="54"/>
        <v>18150</v>
      </c>
      <c r="J80" s="301">
        <f t="shared" si="54"/>
        <v>19500</v>
      </c>
      <c r="K80" s="301">
        <f t="shared" si="54"/>
        <v>20850</v>
      </c>
      <c r="L80" s="301">
        <f t="shared" si="54"/>
        <v>22200</v>
      </c>
      <c r="M80" s="207"/>
      <c r="N80" s="95" t="str">
        <f>AU27</f>
        <v>5/30/2017 - 3/31/2018</v>
      </c>
      <c r="O80" s="207"/>
      <c r="P80" s="197">
        <f t="shared" ref="P80:W80" si="55">+P128*0.6</f>
        <v>11760</v>
      </c>
      <c r="Q80" s="197">
        <f t="shared" si="55"/>
        <v>13440</v>
      </c>
      <c r="R80" s="197">
        <f t="shared" si="55"/>
        <v>15120</v>
      </c>
      <c r="S80" s="197">
        <f t="shared" si="55"/>
        <v>16800</v>
      </c>
      <c r="T80" s="197">
        <f t="shared" si="55"/>
        <v>18150</v>
      </c>
      <c r="U80" s="197">
        <f t="shared" si="55"/>
        <v>19500</v>
      </c>
      <c r="V80" s="197">
        <f t="shared" si="55"/>
        <v>20850</v>
      </c>
      <c r="W80" s="197">
        <f t="shared" si="55"/>
        <v>22200</v>
      </c>
      <c r="X80" s="207"/>
      <c r="Y80" s="197">
        <f t="shared" ref="Y80:AF80" si="56">+Y128*0.6</f>
        <v>0</v>
      </c>
      <c r="Z80" s="197">
        <f t="shared" si="56"/>
        <v>0</v>
      </c>
      <c r="AA80" s="197">
        <f t="shared" si="56"/>
        <v>0</v>
      </c>
      <c r="AB80" s="197">
        <f t="shared" si="56"/>
        <v>0</v>
      </c>
      <c r="AC80" s="197">
        <f t="shared" si="56"/>
        <v>0</v>
      </c>
      <c r="AD80" s="197">
        <f t="shared" si="56"/>
        <v>0</v>
      </c>
      <c r="AE80" s="197">
        <f t="shared" si="56"/>
        <v>0</v>
      </c>
      <c r="AF80" s="197">
        <f t="shared" si="56"/>
        <v>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12270</v>
      </c>
      <c r="F81" s="299">
        <f t="shared" si="59"/>
        <v>14010</v>
      </c>
      <c r="G81" s="299">
        <f t="shared" si="59"/>
        <v>15780</v>
      </c>
      <c r="H81" s="299">
        <f t="shared" si="59"/>
        <v>17520</v>
      </c>
      <c r="I81" s="299">
        <f t="shared" si="59"/>
        <v>18930</v>
      </c>
      <c r="J81" s="299">
        <f t="shared" si="59"/>
        <v>20310</v>
      </c>
      <c r="K81" s="299">
        <f t="shared" si="59"/>
        <v>21720</v>
      </c>
      <c r="L81" s="299">
        <f t="shared" si="59"/>
        <v>23130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12270</v>
      </c>
      <c r="F82" s="301">
        <f t="shared" si="61"/>
        <v>14010</v>
      </c>
      <c r="G82" s="301">
        <f t="shared" si="61"/>
        <v>15780</v>
      </c>
      <c r="H82" s="301">
        <f t="shared" si="61"/>
        <v>17520</v>
      </c>
      <c r="I82" s="301">
        <f t="shared" si="61"/>
        <v>18930</v>
      </c>
      <c r="J82" s="301">
        <f t="shared" si="61"/>
        <v>20310</v>
      </c>
      <c r="K82" s="301">
        <f t="shared" si="61"/>
        <v>21720</v>
      </c>
      <c r="L82" s="301">
        <f t="shared" si="61"/>
        <v>23130</v>
      </c>
      <c r="M82" s="207"/>
      <c r="N82" s="95" t="str">
        <f>AU29</f>
        <v>5/17/2018 - 4/23/2019</v>
      </c>
      <c r="O82" s="207"/>
      <c r="P82" s="197">
        <f t="shared" ref="P82:W82" si="62">P130*0.6</f>
        <v>11880</v>
      </c>
      <c r="Q82" s="197">
        <f t="shared" si="62"/>
        <v>13560</v>
      </c>
      <c r="R82" s="197">
        <f t="shared" si="62"/>
        <v>15270</v>
      </c>
      <c r="S82" s="197">
        <f t="shared" si="62"/>
        <v>16950</v>
      </c>
      <c r="T82" s="197">
        <f t="shared" si="62"/>
        <v>18330</v>
      </c>
      <c r="U82" s="197">
        <f t="shared" si="62"/>
        <v>19680</v>
      </c>
      <c r="V82" s="197">
        <f t="shared" si="62"/>
        <v>21030</v>
      </c>
      <c r="W82" s="197">
        <f t="shared" si="62"/>
        <v>22380</v>
      </c>
      <c r="X82" s="207"/>
      <c r="Y82" s="197">
        <f t="shared" ref="Y82:AF82" si="63">+Y130*0.6</f>
        <v>0</v>
      </c>
      <c r="Z82" s="197">
        <f t="shared" si="63"/>
        <v>0</v>
      </c>
      <c r="AA82" s="197">
        <f t="shared" si="63"/>
        <v>0</v>
      </c>
      <c r="AB82" s="197">
        <f t="shared" si="63"/>
        <v>0</v>
      </c>
      <c r="AC82" s="197">
        <f t="shared" si="63"/>
        <v>0</v>
      </c>
      <c r="AD82" s="197">
        <f t="shared" si="63"/>
        <v>0</v>
      </c>
      <c r="AE82" s="197">
        <f t="shared" si="63"/>
        <v>0</v>
      </c>
      <c r="AF82" s="197">
        <f t="shared" si="63"/>
        <v>0</v>
      </c>
      <c r="AG82" s="207"/>
      <c r="AH82" s="207"/>
      <c r="AI82" s="197">
        <f t="shared" ref="AI82:AP82" si="64">+AI130*0.6</f>
        <v>12270</v>
      </c>
      <c r="AJ82" s="197">
        <f t="shared" si="64"/>
        <v>14010</v>
      </c>
      <c r="AK82" s="197">
        <f t="shared" si="64"/>
        <v>15780</v>
      </c>
      <c r="AL82" s="197">
        <f t="shared" si="64"/>
        <v>17520</v>
      </c>
      <c r="AM82" s="197">
        <f t="shared" si="64"/>
        <v>18930</v>
      </c>
      <c r="AN82" s="197">
        <f t="shared" si="64"/>
        <v>20310</v>
      </c>
      <c r="AO82" s="197">
        <f t="shared" si="64"/>
        <v>21720</v>
      </c>
      <c r="AP82" s="197">
        <f t="shared" si="64"/>
        <v>23130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12720</v>
      </c>
      <c r="F83" s="299">
        <f t="shared" ref="F83:L83" si="65">+MAX(F82,F84)</f>
        <v>14550</v>
      </c>
      <c r="G83" s="299">
        <f t="shared" si="65"/>
        <v>16350</v>
      </c>
      <c r="H83" s="299">
        <f t="shared" si="65"/>
        <v>18180</v>
      </c>
      <c r="I83" s="299">
        <f t="shared" si="65"/>
        <v>19620</v>
      </c>
      <c r="J83" s="299">
        <f t="shared" si="65"/>
        <v>21090</v>
      </c>
      <c r="K83" s="299">
        <f t="shared" si="65"/>
        <v>22530</v>
      </c>
      <c r="L83" s="299">
        <f t="shared" si="65"/>
        <v>24000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12720</v>
      </c>
      <c r="F84" s="301">
        <f t="shared" ref="F84:L84" si="66">+MAX(Q84,Z84,AJ84)</f>
        <v>14550</v>
      </c>
      <c r="G84" s="301">
        <f t="shared" si="66"/>
        <v>16350</v>
      </c>
      <c r="H84" s="301">
        <f t="shared" si="66"/>
        <v>18180</v>
      </c>
      <c r="I84" s="301">
        <f t="shared" si="66"/>
        <v>19620</v>
      </c>
      <c r="J84" s="301">
        <f t="shared" si="66"/>
        <v>21090</v>
      </c>
      <c r="K84" s="301">
        <f t="shared" si="66"/>
        <v>22530</v>
      </c>
      <c r="L84" s="301">
        <f t="shared" si="66"/>
        <v>24000</v>
      </c>
      <c r="M84" s="207"/>
      <c r="N84" s="95" t="str">
        <f>AU31</f>
        <v>On or After 6/9/2019</v>
      </c>
      <c r="O84" s="207"/>
      <c r="P84" s="197">
        <f>P132*0.6</f>
        <v>12330</v>
      </c>
      <c r="Q84" s="197">
        <f t="shared" ref="Q84:W84" si="67">Q132*0.6</f>
        <v>14100</v>
      </c>
      <c r="R84" s="197">
        <f t="shared" si="67"/>
        <v>15870</v>
      </c>
      <c r="S84" s="197">
        <f t="shared" si="67"/>
        <v>17610</v>
      </c>
      <c r="T84" s="197">
        <f t="shared" si="67"/>
        <v>19020</v>
      </c>
      <c r="U84" s="197">
        <f t="shared" si="67"/>
        <v>20430</v>
      </c>
      <c r="V84" s="197">
        <f t="shared" si="67"/>
        <v>21840</v>
      </c>
      <c r="W84" s="197">
        <f t="shared" si="67"/>
        <v>23250</v>
      </c>
      <c r="X84" s="207"/>
      <c r="Y84" s="197">
        <f>+Y132*0.6</f>
        <v>0</v>
      </c>
      <c r="Z84" s="197">
        <f t="shared" ref="Z84:AF84" si="68">+Z132*0.6</f>
        <v>0</v>
      </c>
      <c r="AA84" s="197">
        <f t="shared" si="68"/>
        <v>0</v>
      </c>
      <c r="AB84" s="197">
        <f t="shared" si="68"/>
        <v>0</v>
      </c>
      <c r="AC84" s="197">
        <f t="shared" si="68"/>
        <v>0</v>
      </c>
      <c r="AD84" s="197">
        <f t="shared" si="68"/>
        <v>0</v>
      </c>
      <c r="AE84" s="197">
        <f t="shared" si="68"/>
        <v>0</v>
      </c>
      <c r="AF84" s="197">
        <f t="shared" si="68"/>
        <v>0</v>
      </c>
      <c r="AG84" s="207"/>
      <c r="AH84" s="207"/>
      <c r="AI84" s="197">
        <f>+AI132*0.6</f>
        <v>12720</v>
      </c>
      <c r="AJ84" s="197">
        <f t="shared" ref="AJ84:AP84" si="69">+AJ132*0.6</f>
        <v>14550</v>
      </c>
      <c r="AK84" s="197">
        <f t="shared" si="69"/>
        <v>16350</v>
      </c>
      <c r="AL84" s="197">
        <f t="shared" si="69"/>
        <v>18180</v>
      </c>
      <c r="AM84" s="197">
        <f t="shared" si="69"/>
        <v>19620</v>
      </c>
      <c r="AN84" s="197">
        <f t="shared" si="69"/>
        <v>21090</v>
      </c>
      <c r="AO84" s="197">
        <f t="shared" si="69"/>
        <v>22530</v>
      </c>
      <c r="AP84" s="197">
        <f t="shared" si="69"/>
        <v>24000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13440</v>
      </c>
      <c r="F87" s="298">
        <f t="shared" si="72"/>
        <v>15360</v>
      </c>
      <c r="G87" s="298">
        <f t="shared" si="72"/>
        <v>17280</v>
      </c>
      <c r="H87" s="298">
        <f t="shared" si="72"/>
        <v>19200</v>
      </c>
      <c r="I87" s="298">
        <f t="shared" si="72"/>
        <v>20760</v>
      </c>
      <c r="J87" s="298">
        <f t="shared" si="72"/>
        <v>22280</v>
      </c>
      <c r="K87" s="298">
        <f t="shared" si="72"/>
        <v>23840</v>
      </c>
      <c r="L87" s="298">
        <f t="shared" si="72"/>
        <v>25360</v>
      </c>
      <c r="N87" s="91" t="str">
        <f>CONCATENATE($AU$10,$B$11,N86)</f>
        <v>Before 12-31-2008Anderson40</v>
      </c>
      <c r="P87" s="194">
        <f>VLOOKUP($N87,'pre 12-31-08'!$A$4:$L$1400,E$86+3,FALSE)</f>
        <v>13440</v>
      </c>
      <c r="Q87" s="194">
        <f>VLOOKUP($N87,'pre 12-31-08'!$A$4:$L$1400,F$86+3,FALSE)</f>
        <v>15360</v>
      </c>
      <c r="R87" s="194">
        <f>VLOOKUP($N87,'pre 12-31-08'!$A$4:$L$1400,G$86+3,FALSE)</f>
        <v>17280</v>
      </c>
      <c r="S87" s="194">
        <f>VLOOKUP($N87,'pre 12-31-08'!$A$4:$L$1400,H$86+3,FALSE)</f>
        <v>19200</v>
      </c>
      <c r="T87" s="194">
        <f>VLOOKUP($N87,'pre 12-31-08'!$A$4:$L$1400,I$86+3,FALSE)</f>
        <v>20760</v>
      </c>
      <c r="U87" s="194">
        <f>VLOOKUP($N87,'pre 12-31-08'!$A$4:$L$1400,J$86+3,FALSE)</f>
        <v>22280</v>
      </c>
      <c r="V87" s="194">
        <f>VLOOKUP($N87,'pre 12-31-08'!$A$4:$L$1400,K$86+3,FALSE)</f>
        <v>23840</v>
      </c>
      <c r="W87" s="194">
        <f>VLOOKUP($N87,'pre 12-31-08'!$A$4:$L$1400,L$86+3,FALSE)</f>
        <v>25360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14440</v>
      </c>
      <c r="F88" s="298">
        <f t="shared" si="72"/>
        <v>16520</v>
      </c>
      <c r="G88" s="298">
        <f t="shared" si="72"/>
        <v>18560</v>
      </c>
      <c r="H88" s="298">
        <f t="shared" si="72"/>
        <v>20640</v>
      </c>
      <c r="I88" s="298">
        <f t="shared" si="72"/>
        <v>22280</v>
      </c>
      <c r="J88" s="298">
        <f t="shared" si="72"/>
        <v>23960</v>
      </c>
      <c r="K88" s="298">
        <f t="shared" si="72"/>
        <v>25600</v>
      </c>
      <c r="L88" s="298">
        <f t="shared" si="72"/>
        <v>27240</v>
      </c>
      <c r="N88" s="91" t="str">
        <f>CONCATENATE($AU$11,$B$11,$N$86)</f>
        <v>1/1/2009 - 5/13/2010Anderson40</v>
      </c>
      <c r="P88" s="194">
        <f>VLOOKUP($N88,'1-1-09-5-14-10'!$A$4:$L$1400,E$86+3,FALSE)</f>
        <v>13440</v>
      </c>
      <c r="Q88" s="194">
        <f>VLOOKUP($N88,'1-1-09-5-14-10'!$A$4:$L$1400,F$86+3,FALSE)</f>
        <v>15360</v>
      </c>
      <c r="R88" s="194">
        <f>VLOOKUP($N88,'1-1-09-5-14-10'!$A$4:$L$1400,G$86+3,FALSE)</f>
        <v>17280</v>
      </c>
      <c r="S88" s="194">
        <f>VLOOKUP($N88,'1-1-09-5-14-10'!$A$4:$L$1400,H$86+3,FALSE)</f>
        <v>19200</v>
      </c>
      <c r="T88" s="194">
        <f>VLOOKUP($N88,'1-1-09-5-14-10'!$A$4:$L$1400,I$86+3,FALSE)</f>
        <v>20760</v>
      </c>
      <c r="U88" s="194">
        <f>VLOOKUP($N88,'1-1-09-5-14-10'!$A$4:$L$1400,J$86+3,FALSE)</f>
        <v>22280</v>
      </c>
      <c r="V88" s="194">
        <f>VLOOKUP($N88,'1-1-09-5-14-10'!$A$4:$L$1400,K$86+3,FALSE)</f>
        <v>23840</v>
      </c>
      <c r="W88" s="194">
        <f>VLOOKUP($N88,'1-1-09-5-14-10'!$A$4:$L$1400,L$86+3,FALSE)</f>
        <v>25360</v>
      </c>
      <c r="Y88" s="38"/>
      <c r="Z88" s="30"/>
      <c r="AA88" s="30"/>
      <c r="AB88" s="30"/>
      <c r="AC88" s="30"/>
      <c r="AD88" s="30"/>
      <c r="AE88" s="30"/>
      <c r="AF88" s="39"/>
      <c r="AI88" s="194">
        <f t="shared" ref="AI88:AP88" si="74">+AI112/5*4</f>
        <v>14440</v>
      </c>
      <c r="AJ88" s="194">
        <f t="shared" si="74"/>
        <v>16520</v>
      </c>
      <c r="AK88" s="194">
        <f t="shared" si="74"/>
        <v>18560</v>
      </c>
      <c r="AL88" s="194">
        <f t="shared" si="74"/>
        <v>20640</v>
      </c>
      <c r="AM88" s="194">
        <f t="shared" si="74"/>
        <v>22280</v>
      </c>
      <c r="AN88" s="194">
        <f t="shared" si="74"/>
        <v>23960</v>
      </c>
      <c r="AO88" s="194">
        <f t="shared" si="74"/>
        <v>25600</v>
      </c>
      <c r="AP88" s="194">
        <f t="shared" si="74"/>
        <v>27240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14440</v>
      </c>
      <c r="F89" s="299">
        <f t="shared" si="75"/>
        <v>16520</v>
      </c>
      <c r="G89" s="299">
        <f t="shared" si="75"/>
        <v>18560</v>
      </c>
      <c r="H89" s="299">
        <f t="shared" si="75"/>
        <v>20640</v>
      </c>
      <c r="I89" s="299">
        <f t="shared" si="75"/>
        <v>22280</v>
      </c>
      <c r="J89" s="299">
        <f t="shared" si="75"/>
        <v>23960</v>
      </c>
      <c r="K89" s="299">
        <f t="shared" si="75"/>
        <v>25600</v>
      </c>
      <c r="L89" s="299">
        <f t="shared" si="75"/>
        <v>27240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14440</v>
      </c>
      <c r="F90" s="298">
        <f t="shared" si="77"/>
        <v>16520</v>
      </c>
      <c r="G90" s="298">
        <f t="shared" si="77"/>
        <v>18560</v>
      </c>
      <c r="H90" s="298">
        <f t="shared" si="77"/>
        <v>20640</v>
      </c>
      <c r="I90" s="298">
        <f t="shared" si="77"/>
        <v>22280</v>
      </c>
      <c r="J90" s="298">
        <f t="shared" si="77"/>
        <v>23960</v>
      </c>
      <c r="K90" s="298">
        <f t="shared" si="77"/>
        <v>25600</v>
      </c>
      <c r="L90" s="298">
        <f t="shared" si="77"/>
        <v>27240</v>
      </c>
      <c r="N90" s="91" t="str">
        <f>CONCATENATE($AU$13,$B$11,$N$86)</f>
        <v>6/29/2010 - 5/30/2011Anderson40</v>
      </c>
      <c r="P90" s="194">
        <f>VLOOKUP($N90,'5-14-10-5-31-11'!$A$4:$L$1400,E$86+3,FALSE)</f>
        <v>13440</v>
      </c>
      <c r="Q90" s="194">
        <f>VLOOKUP($N90,'5-14-10-5-31-11'!$A$4:$L$1400,F$86+3,FALSE)</f>
        <v>15360</v>
      </c>
      <c r="R90" s="194">
        <f>VLOOKUP($N90,'5-14-10-5-31-11'!$A$4:$L$1400,G$86+3,FALSE)</f>
        <v>17280</v>
      </c>
      <c r="S90" s="194">
        <f>VLOOKUP($N90,'5-14-10-5-31-11'!$A$4:$L$1400,H$86+3,FALSE)</f>
        <v>19200</v>
      </c>
      <c r="T90" s="194">
        <f>VLOOKUP($N90,'5-14-10-5-31-11'!$A$4:$L$1400,I$86+3,FALSE)</f>
        <v>20760</v>
      </c>
      <c r="U90" s="194">
        <f>VLOOKUP($N90,'5-14-10-5-31-11'!$A$4:$L$1400,J$86+3,FALSE)</f>
        <v>22280</v>
      </c>
      <c r="V90" s="194">
        <f>VLOOKUP($N90,'5-14-10-5-31-11'!$A$4:$L$1400,K$86+3,FALSE)</f>
        <v>23840</v>
      </c>
      <c r="W90" s="194">
        <f>VLOOKUP($N90,'5-14-10-5-31-11'!$A$4:$L$1400,L$86+3,FALSE)</f>
        <v>25360</v>
      </c>
      <c r="Y90" s="38"/>
      <c r="Z90" s="30"/>
      <c r="AA90" s="30"/>
      <c r="AB90" s="30"/>
      <c r="AC90" s="30"/>
      <c r="AD90" s="30"/>
      <c r="AE90" s="30"/>
      <c r="AF90" s="39"/>
      <c r="AI90" s="194">
        <f t="shared" ref="AI90:AP90" si="78">+AI114/5*4</f>
        <v>14440</v>
      </c>
      <c r="AJ90" s="194">
        <f t="shared" si="78"/>
        <v>16520</v>
      </c>
      <c r="AK90" s="194">
        <f t="shared" si="78"/>
        <v>18560</v>
      </c>
      <c r="AL90" s="194">
        <f t="shared" si="78"/>
        <v>20640</v>
      </c>
      <c r="AM90" s="194">
        <f t="shared" si="78"/>
        <v>22280</v>
      </c>
      <c r="AN90" s="194">
        <f t="shared" si="78"/>
        <v>23960</v>
      </c>
      <c r="AO90" s="194">
        <f t="shared" si="78"/>
        <v>25600</v>
      </c>
      <c r="AP90" s="194">
        <f t="shared" si="78"/>
        <v>27240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14600</v>
      </c>
      <c r="F91" s="299">
        <f t="shared" si="79"/>
        <v>16680</v>
      </c>
      <c r="G91" s="299">
        <f t="shared" si="79"/>
        <v>18760</v>
      </c>
      <c r="H91" s="299">
        <f t="shared" si="79"/>
        <v>20840</v>
      </c>
      <c r="I91" s="299">
        <f t="shared" si="79"/>
        <v>22520</v>
      </c>
      <c r="J91" s="299">
        <f t="shared" si="79"/>
        <v>24200</v>
      </c>
      <c r="K91" s="299">
        <f t="shared" si="79"/>
        <v>25880</v>
      </c>
      <c r="L91" s="299">
        <f t="shared" si="79"/>
        <v>27520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14600</v>
      </c>
      <c r="F92" s="298">
        <f t="shared" si="80"/>
        <v>16680</v>
      </c>
      <c r="G92" s="298">
        <f t="shared" si="80"/>
        <v>18760</v>
      </c>
      <c r="H92" s="298">
        <f t="shared" si="80"/>
        <v>20840</v>
      </c>
      <c r="I92" s="298">
        <f t="shared" si="80"/>
        <v>22520</v>
      </c>
      <c r="J92" s="298">
        <f t="shared" si="80"/>
        <v>24200</v>
      </c>
      <c r="K92" s="298">
        <f t="shared" si="80"/>
        <v>25880</v>
      </c>
      <c r="L92" s="298">
        <f t="shared" si="80"/>
        <v>27520</v>
      </c>
      <c r="N92" s="168" t="s">
        <v>2103</v>
      </c>
      <c r="P92" s="194">
        <f t="shared" ref="P92:W92" si="81">+P116/5*4</f>
        <v>14120</v>
      </c>
      <c r="Q92" s="194">
        <f t="shared" si="81"/>
        <v>16160</v>
      </c>
      <c r="R92" s="194">
        <f t="shared" si="81"/>
        <v>18160</v>
      </c>
      <c r="S92" s="194">
        <f t="shared" si="81"/>
        <v>20160</v>
      </c>
      <c r="T92" s="194">
        <f t="shared" si="81"/>
        <v>21800</v>
      </c>
      <c r="U92" s="194">
        <f t="shared" si="81"/>
        <v>23400</v>
      </c>
      <c r="V92" s="194">
        <f t="shared" si="81"/>
        <v>25000</v>
      </c>
      <c r="W92" s="194">
        <f t="shared" si="81"/>
        <v>26640</v>
      </c>
      <c r="Y92" s="194">
        <f t="shared" ref="Y92:AF92" si="82">+Y116/5*4</f>
        <v>14600</v>
      </c>
      <c r="Z92" s="194">
        <f t="shared" si="82"/>
        <v>16680</v>
      </c>
      <c r="AA92" s="194">
        <f t="shared" si="82"/>
        <v>18760</v>
      </c>
      <c r="AB92" s="194">
        <f t="shared" si="82"/>
        <v>20840</v>
      </c>
      <c r="AC92" s="194">
        <f t="shared" si="82"/>
        <v>22520</v>
      </c>
      <c r="AD92" s="194">
        <f t="shared" si="82"/>
        <v>24200</v>
      </c>
      <c r="AE92" s="194">
        <f t="shared" si="82"/>
        <v>25880</v>
      </c>
      <c r="AF92" s="194">
        <f t="shared" si="82"/>
        <v>27520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14800</v>
      </c>
      <c r="F93" s="299">
        <f t="shared" si="84"/>
        <v>16920</v>
      </c>
      <c r="G93" s="299">
        <f t="shared" si="84"/>
        <v>19040</v>
      </c>
      <c r="H93" s="299">
        <f t="shared" si="84"/>
        <v>21120</v>
      </c>
      <c r="I93" s="299">
        <f t="shared" si="84"/>
        <v>22840</v>
      </c>
      <c r="J93" s="299">
        <f t="shared" si="84"/>
        <v>24520</v>
      </c>
      <c r="K93" s="299">
        <f t="shared" si="84"/>
        <v>26200</v>
      </c>
      <c r="L93" s="299">
        <f t="shared" si="84"/>
        <v>27880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3011</v>
      </c>
      <c r="BG93" s="6" t="e">
        <f t="shared" si="76"/>
        <v>#N/A</v>
      </c>
    </row>
    <row r="94" spans="1:59" hidden="1">
      <c r="A94" s="89">
        <f t="shared" si="70"/>
        <v>0</v>
      </c>
      <c r="B94" s="89">
        <f t="shared" si="73"/>
        <v>1</v>
      </c>
      <c r="C94" s="89">
        <f t="shared" si="71"/>
        <v>1</v>
      </c>
      <c r="E94" s="298">
        <f t="shared" ref="E94:L94" si="85">+MAX(P94,Y94,AI94)</f>
        <v>14800</v>
      </c>
      <c r="F94" s="298">
        <f t="shared" si="85"/>
        <v>16920</v>
      </c>
      <c r="G94" s="298">
        <f t="shared" si="85"/>
        <v>19040</v>
      </c>
      <c r="H94" s="298">
        <f t="shared" si="85"/>
        <v>21120</v>
      </c>
      <c r="I94" s="298">
        <f t="shared" si="85"/>
        <v>22840</v>
      </c>
      <c r="J94" s="298">
        <f t="shared" si="85"/>
        <v>24520</v>
      </c>
      <c r="K94" s="298">
        <f t="shared" si="85"/>
        <v>26200</v>
      </c>
      <c r="L94" s="298">
        <f t="shared" si="85"/>
        <v>27880</v>
      </c>
      <c r="N94" s="168" t="s">
        <v>2105</v>
      </c>
      <c r="P94" s="194">
        <f t="shared" ref="P94:W94" si="86">+P118/5*4</f>
        <v>14800</v>
      </c>
      <c r="Q94" s="194">
        <f t="shared" si="86"/>
        <v>16920</v>
      </c>
      <c r="R94" s="194">
        <f t="shared" si="86"/>
        <v>19040</v>
      </c>
      <c r="S94" s="194">
        <f t="shared" si="86"/>
        <v>21120</v>
      </c>
      <c r="T94" s="194">
        <f t="shared" si="86"/>
        <v>22840</v>
      </c>
      <c r="U94" s="194">
        <f t="shared" si="86"/>
        <v>24520</v>
      </c>
      <c r="V94" s="194">
        <f t="shared" si="86"/>
        <v>26200</v>
      </c>
      <c r="W94" s="194">
        <f t="shared" si="86"/>
        <v>27880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15560</v>
      </c>
      <c r="F95" s="299">
        <f t="shared" si="89"/>
        <v>17760</v>
      </c>
      <c r="G95" s="299">
        <f t="shared" si="89"/>
        <v>20000</v>
      </c>
      <c r="H95" s="299">
        <f t="shared" si="89"/>
        <v>22200</v>
      </c>
      <c r="I95" s="299">
        <f t="shared" si="89"/>
        <v>24000</v>
      </c>
      <c r="J95" s="299">
        <f t="shared" si="89"/>
        <v>25760</v>
      </c>
      <c r="K95" s="299">
        <f t="shared" si="89"/>
        <v>27560</v>
      </c>
      <c r="L95" s="299">
        <f t="shared" si="89"/>
        <v>29320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15560</v>
      </c>
      <c r="F96" s="298">
        <f t="shared" si="90"/>
        <v>17760</v>
      </c>
      <c r="G96" s="298">
        <f t="shared" si="90"/>
        <v>20000</v>
      </c>
      <c r="H96" s="298">
        <f t="shared" si="90"/>
        <v>22200</v>
      </c>
      <c r="I96" s="298">
        <f t="shared" si="90"/>
        <v>24000</v>
      </c>
      <c r="J96" s="298">
        <f t="shared" si="90"/>
        <v>25760</v>
      </c>
      <c r="K96" s="298">
        <f t="shared" si="90"/>
        <v>27560</v>
      </c>
      <c r="L96" s="298">
        <f t="shared" si="90"/>
        <v>29320</v>
      </c>
      <c r="M96" s="6"/>
      <c r="N96" s="168" t="s">
        <v>2123</v>
      </c>
      <c r="O96" s="6"/>
      <c r="P96" s="194">
        <f t="shared" ref="P96:W96" si="91">+P120/5*4</f>
        <v>15520</v>
      </c>
      <c r="Q96" s="194">
        <f t="shared" si="91"/>
        <v>17760</v>
      </c>
      <c r="R96" s="194">
        <f t="shared" si="91"/>
        <v>19960</v>
      </c>
      <c r="S96" s="194">
        <f t="shared" si="91"/>
        <v>22160</v>
      </c>
      <c r="T96" s="194">
        <f t="shared" si="91"/>
        <v>23960</v>
      </c>
      <c r="U96" s="194">
        <f t="shared" si="91"/>
        <v>25720</v>
      </c>
      <c r="V96" s="194">
        <f t="shared" si="91"/>
        <v>27480</v>
      </c>
      <c r="W96" s="194">
        <f t="shared" si="91"/>
        <v>29280</v>
      </c>
      <c r="X96" s="6"/>
      <c r="Y96" s="194">
        <f t="shared" ref="Y96:AF96" si="92">+Y120/5*4</f>
        <v>15560</v>
      </c>
      <c r="Z96" s="194">
        <f t="shared" si="92"/>
        <v>17760</v>
      </c>
      <c r="AA96" s="194">
        <f t="shared" si="92"/>
        <v>20000</v>
      </c>
      <c r="AB96" s="194">
        <f t="shared" si="92"/>
        <v>22200</v>
      </c>
      <c r="AC96" s="194">
        <f t="shared" si="92"/>
        <v>24000</v>
      </c>
      <c r="AD96" s="194">
        <f t="shared" si="92"/>
        <v>25760</v>
      </c>
      <c r="AE96" s="194">
        <f t="shared" si="92"/>
        <v>27560</v>
      </c>
      <c r="AF96" s="194">
        <f t="shared" si="92"/>
        <v>29320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15560</v>
      </c>
      <c r="F97" s="299">
        <f t="shared" si="95"/>
        <v>17760</v>
      </c>
      <c r="G97" s="299">
        <f t="shared" si="95"/>
        <v>20000</v>
      </c>
      <c r="H97" s="299">
        <f t="shared" si="95"/>
        <v>22200</v>
      </c>
      <c r="I97" s="299">
        <f t="shared" si="95"/>
        <v>24000</v>
      </c>
      <c r="J97" s="299">
        <f t="shared" si="95"/>
        <v>25760</v>
      </c>
      <c r="K97" s="299">
        <f t="shared" si="95"/>
        <v>27560</v>
      </c>
      <c r="L97" s="299">
        <f t="shared" si="95"/>
        <v>29320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15560</v>
      </c>
      <c r="F98" s="298">
        <f t="shared" si="96"/>
        <v>17760</v>
      </c>
      <c r="G98" s="298">
        <f t="shared" si="96"/>
        <v>20000</v>
      </c>
      <c r="H98" s="298">
        <f t="shared" si="96"/>
        <v>22200</v>
      </c>
      <c r="I98" s="298">
        <f t="shared" si="96"/>
        <v>24000</v>
      </c>
      <c r="J98" s="298">
        <f t="shared" si="96"/>
        <v>25760</v>
      </c>
      <c r="K98" s="298">
        <f t="shared" si="96"/>
        <v>27560</v>
      </c>
      <c r="L98" s="298">
        <f t="shared" si="96"/>
        <v>29320</v>
      </c>
      <c r="M98" s="6"/>
      <c r="N98" s="95" t="s">
        <v>2187</v>
      </c>
      <c r="O98" s="6"/>
      <c r="P98" s="194">
        <f t="shared" ref="P98:W98" si="97">+P122/5*4</f>
        <v>15200</v>
      </c>
      <c r="Q98" s="194">
        <f t="shared" si="97"/>
        <v>17360</v>
      </c>
      <c r="R98" s="194">
        <f t="shared" si="97"/>
        <v>19520</v>
      </c>
      <c r="S98" s="194">
        <f t="shared" si="97"/>
        <v>21680</v>
      </c>
      <c r="T98" s="194">
        <f t="shared" si="97"/>
        <v>23440</v>
      </c>
      <c r="U98" s="194">
        <f t="shared" si="97"/>
        <v>25160</v>
      </c>
      <c r="V98" s="194">
        <f t="shared" si="97"/>
        <v>26920</v>
      </c>
      <c r="W98" s="194">
        <f t="shared" si="97"/>
        <v>28640</v>
      </c>
      <c r="X98" s="6"/>
      <c r="Y98" s="194">
        <f t="shared" ref="Y98:AF98" si="98">+Y122/5*4</f>
        <v>15560</v>
      </c>
      <c r="Z98" s="194">
        <f t="shared" si="98"/>
        <v>17760</v>
      </c>
      <c r="AA98" s="194">
        <f t="shared" si="98"/>
        <v>20000</v>
      </c>
      <c r="AB98" s="194">
        <f t="shared" si="98"/>
        <v>22200</v>
      </c>
      <c r="AC98" s="194">
        <f t="shared" si="98"/>
        <v>24000</v>
      </c>
      <c r="AD98" s="194">
        <f t="shared" si="98"/>
        <v>25760</v>
      </c>
      <c r="AE98" s="194">
        <f t="shared" si="98"/>
        <v>27560</v>
      </c>
      <c r="AF98" s="194">
        <f t="shared" si="98"/>
        <v>29320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15560</v>
      </c>
      <c r="F99" s="299">
        <f t="shared" ref="F99:L99" si="100">+MAX(F98,F100)</f>
        <v>17760</v>
      </c>
      <c r="G99" s="299">
        <f t="shared" si="100"/>
        <v>20000</v>
      </c>
      <c r="H99" s="299">
        <f t="shared" si="100"/>
        <v>22200</v>
      </c>
      <c r="I99" s="299">
        <f t="shared" si="100"/>
        <v>24000</v>
      </c>
      <c r="J99" s="299">
        <f t="shared" si="100"/>
        <v>25760</v>
      </c>
      <c r="K99" s="299">
        <f t="shared" si="100"/>
        <v>27560</v>
      </c>
      <c r="L99" s="299">
        <f t="shared" si="100"/>
        <v>29320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15560</v>
      </c>
      <c r="F100" s="300">
        <f t="shared" si="102"/>
        <v>17760</v>
      </c>
      <c r="G100" s="300">
        <f t="shared" si="102"/>
        <v>20000</v>
      </c>
      <c r="H100" s="300">
        <f t="shared" si="102"/>
        <v>22200</v>
      </c>
      <c r="I100" s="300">
        <f t="shared" si="102"/>
        <v>24000</v>
      </c>
      <c r="J100" s="300">
        <f t="shared" si="102"/>
        <v>25760</v>
      </c>
      <c r="K100" s="300">
        <f t="shared" si="102"/>
        <v>27560</v>
      </c>
      <c r="L100" s="300">
        <f t="shared" si="102"/>
        <v>29320</v>
      </c>
      <c r="N100" s="95" t="s">
        <v>2226</v>
      </c>
      <c r="P100" s="194">
        <f t="shared" ref="P100:W100" si="103">+P124/5*4</f>
        <v>15400</v>
      </c>
      <c r="Q100" s="194">
        <f t="shared" si="103"/>
        <v>17600</v>
      </c>
      <c r="R100" s="194">
        <f t="shared" si="103"/>
        <v>19800</v>
      </c>
      <c r="S100" s="194">
        <f t="shared" si="103"/>
        <v>22000</v>
      </c>
      <c r="T100" s="194">
        <f t="shared" si="103"/>
        <v>23760</v>
      </c>
      <c r="U100" s="194">
        <f t="shared" si="103"/>
        <v>25520</v>
      </c>
      <c r="V100" s="194">
        <f t="shared" si="103"/>
        <v>27280</v>
      </c>
      <c r="W100" s="194">
        <f t="shared" si="103"/>
        <v>29040</v>
      </c>
      <c r="Y100" s="194">
        <f t="shared" ref="Y100:AF100" si="104">+Y124/5*4</f>
        <v>15560</v>
      </c>
      <c r="Z100" s="194">
        <f t="shared" si="104"/>
        <v>17760</v>
      </c>
      <c r="AA100" s="194">
        <f t="shared" si="104"/>
        <v>20000</v>
      </c>
      <c r="AB100" s="194">
        <f t="shared" si="104"/>
        <v>22200</v>
      </c>
      <c r="AC100" s="194">
        <f t="shared" si="104"/>
        <v>24000</v>
      </c>
      <c r="AD100" s="194">
        <f t="shared" si="104"/>
        <v>25760</v>
      </c>
      <c r="AE100" s="194">
        <f t="shared" si="104"/>
        <v>27560</v>
      </c>
      <c r="AF100" s="194">
        <f t="shared" si="104"/>
        <v>29320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15560</v>
      </c>
      <c r="F101" s="299">
        <f t="shared" ref="F101:L101" si="106">+MAX(F100,F102)</f>
        <v>17760</v>
      </c>
      <c r="G101" s="299">
        <f t="shared" si="106"/>
        <v>20000</v>
      </c>
      <c r="H101" s="299">
        <f t="shared" si="106"/>
        <v>22200</v>
      </c>
      <c r="I101" s="299">
        <f t="shared" si="106"/>
        <v>24000</v>
      </c>
      <c r="J101" s="299">
        <f t="shared" si="106"/>
        <v>25760</v>
      </c>
      <c r="K101" s="299">
        <f t="shared" si="106"/>
        <v>27560</v>
      </c>
      <c r="L101" s="299">
        <f t="shared" si="106"/>
        <v>29320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15560</v>
      </c>
      <c r="F102" s="300">
        <f t="shared" si="107"/>
        <v>17760</v>
      </c>
      <c r="G102" s="300">
        <f t="shared" si="107"/>
        <v>20000</v>
      </c>
      <c r="H102" s="300">
        <f t="shared" si="107"/>
        <v>22200</v>
      </c>
      <c r="I102" s="300">
        <f t="shared" si="107"/>
        <v>24000</v>
      </c>
      <c r="J102" s="300">
        <f t="shared" si="107"/>
        <v>25760</v>
      </c>
      <c r="K102" s="300">
        <f t="shared" si="107"/>
        <v>27560</v>
      </c>
      <c r="L102" s="300">
        <f t="shared" si="107"/>
        <v>29320</v>
      </c>
      <c r="N102" s="95" t="s">
        <v>2266</v>
      </c>
      <c r="P102" s="194">
        <f t="shared" ref="P102:W102" si="108">+P126*0.8</f>
        <v>15000</v>
      </c>
      <c r="Q102" s="194">
        <f t="shared" si="108"/>
        <v>17120</v>
      </c>
      <c r="R102" s="194">
        <f t="shared" si="108"/>
        <v>19280</v>
      </c>
      <c r="S102" s="194">
        <f t="shared" si="108"/>
        <v>21400</v>
      </c>
      <c r="T102" s="194">
        <f t="shared" si="108"/>
        <v>23120</v>
      </c>
      <c r="U102" s="194">
        <f t="shared" si="108"/>
        <v>24840</v>
      </c>
      <c r="V102" s="194">
        <f t="shared" si="108"/>
        <v>26560</v>
      </c>
      <c r="W102" s="194">
        <f t="shared" si="108"/>
        <v>28280</v>
      </c>
      <c r="Y102" s="194">
        <f t="shared" ref="Y102:AF102" si="109">+Y126*0.8</f>
        <v>15560</v>
      </c>
      <c r="Z102" s="194">
        <f t="shared" si="109"/>
        <v>17760</v>
      </c>
      <c r="AA102" s="194">
        <f t="shared" si="109"/>
        <v>20000</v>
      </c>
      <c r="AB102" s="194">
        <f t="shared" si="109"/>
        <v>22200</v>
      </c>
      <c r="AC102" s="194">
        <f t="shared" si="109"/>
        <v>24000</v>
      </c>
      <c r="AD102" s="194">
        <f t="shared" si="109"/>
        <v>25760</v>
      </c>
      <c r="AE102" s="194">
        <f t="shared" si="109"/>
        <v>27560</v>
      </c>
      <c r="AF102" s="194">
        <f t="shared" si="109"/>
        <v>29320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15680</v>
      </c>
      <c r="F103" s="299">
        <f t="shared" ref="F103:L105" si="111">+MAX(F102,F104)</f>
        <v>17920</v>
      </c>
      <c r="G103" s="299">
        <f t="shared" si="111"/>
        <v>20160</v>
      </c>
      <c r="H103" s="299">
        <f t="shared" si="111"/>
        <v>22400</v>
      </c>
      <c r="I103" s="299">
        <f t="shared" si="111"/>
        <v>24200</v>
      </c>
      <c r="J103" s="299">
        <f t="shared" si="111"/>
        <v>26000</v>
      </c>
      <c r="K103" s="299">
        <f t="shared" si="111"/>
        <v>27800</v>
      </c>
      <c r="L103" s="299">
        <f t="shared" si="111"/>
        <v>29600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15680</v>
      </c>
      <c r="F104" s="301">
        <f t="shared" si="112"/>
        <v>17920</v>
      </c>
      <c r="G104" s="301">
        <f t="shared" si="112"/>
        <v>20160</v>
      </c>
      <c r="H104" s="301">
        <f t="shared" si="112"/>
        <v>22400</v>
      </c>
      <c r="I104" s="301">
        <f t="shared" si="112"/>
        <v>24200</v>
      </c>
      <c r="J104" s="301">
        <f t="shared" si="112"/>
        <v>26000</v>
      </c>
      <c r="K104" s="301">
        <f t="shared" si="112"/>
        <v>27800</v>
      </c>
      <c r="L104" s="301">
        <f t="shared" si="112"/>
        <v>29600</v>
      </c>
      <c r="M104" s="207"/>
      <c r="N104" s="218" t="s">
        <v>2379</v>
      </c>
      <c r="O104" s="207"/>
      <c r="P104" s="197">
        <f t="shared" ref="P104:W104" si="113">+P128*0.8</f>
        <v>15680</v>
      </c>
      <c r="Q104" s="197">
        <f t="shared" si="113"/>
        <v>17920</v>
      </c>
      <c r="R104" s="197">
        <f t="shared" si="113"/>
        <v>20160</v>
      </c>
      <c r="S104" s="197">
        <f t="shared" si="113"/>
        <v>22400</v>
      </c>
      <c r="T104" s="197">
        <f t="shared" si="113"/>
        <v>24200</v>
      </c>
      <c r="U104" s="197">
        <f t="shared" si="113"/>
        <v>26000</v>
      </c>
      <c r="V104" s="197">
        <f t="shared" si="113"/>
        <v>27800</v>
      </c>
      <c r="W104" s="197">
        <f t="shared" si="113"/>
        <v>29600</v>
      </c>
      <c r="X104" s="207"/>
      <c r="Y104" s="197">
        <f t="shared" ref="Y104:AF104" si="114">+Y128*0.8</f>
        <v>0</v>
      </c>
      <c r="Z104" s="197">
        <f t="shared" si="114"/>
        <v>0</v>
      </c>
      <c r="AA104" s="197">
        <f t="shared" si="114"/>
        <v>0</v>
      </c>
      <c r="AB104" s="197">
        <f t="shared" si="114"/>
        <v>0</v>
      </c>
      <c r="AC104" s="197">
        <f t="shared" si="114"/>
        <v>0</v>
      </c>
      <c r="AD104" s="197">
        <f t="shared" si="114"/>
        <v>0</v>
      </c>
      <c r="AE104" s="197">
        <f t="shared" si="114"/>
        <v>0</v>
      </c>
      <c r="AF104" s="197">
        <f t="shared" si="114"/>
        <v>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16360</v>
      </c>
      <c r="F105" s="299">
        <f t="shared" si="111"/>
        <v>18680</v>
      </c>
      <c r="G105" s="299">
        <f t="shared" si="111"/>
        <v>21040</v>
      </c>
      <c r="H105" s="299">
        <f t="shared" si="111"/>
        <v>23360</v>
      </c>
      <c r="I105" s="299">
        <f t="shared" si="111"/>
        <v>25240</v>
      </c>
      <c r="J105" s="299">
        <f t="shared" si="111"/>
        <v>27080</v>
      </c>
      <c r="K105" s="299">
        <f t="shared" si="111"/>
        <v>28960</v>
      </c>
      <c r="L105" s="299">
        <f t="shared" si="111"/>
        <v>30840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3012</v>
      </c>
    </row>
    <row r="106" spans="1:59" ht="15" hidden="1" customHeight="1">
      <c r="A106" s="188">
        <f>IF($A$24=$AU29,1,0)</f>
        <v>0</v>
      </c>
      <c r="B106" s="188">
        <f t="shared" si="73"/>
        <v>1</v>
      </c>
      <c r="C106" s="188">
        <f t="shared" si="71"/>
        <v>1</v>
      </c>
      <c r="D106" s="207"/>
      <c r="E106" s="301">
        <f t="shared" ref="E106:L106" si="116">+MAX(P106,Y106,AI106)</f>
        <v>16360</v>
      </c>
      <c r="F106" s="301">
        <f t="shared" si="116"/>
        <v>18680</v>
      </c>
      <c r="G106" s="301">
        <f t="shared" si="116"/>
        <v>21040</v>
      </c>
      <c r="H106" s="301">
        <f t="shared" si="116"/>
        <v>23360</v>
      </c>
      <c r="I106" s="301">
        <f t="shared" si="116"/>
        <v>25240</v>
      </c>
      <c r="J106" s="301">
        <f t="shared" si="116"/>
        <v>27080</v>
      </c>
      <c r="K106" s="301">
        <f t="shared" si="116"/>
        <v>28960</v>
      </c>
      <c r="L106" s="301">
        <f t="shared" si="116"/>
        <v>30840</v>
      </c>
      <c r="M106" s="207"/>
      <c r="N106" s="218" t="s">
        <v>3088</v>
      </c>
      <c r="O106" s="207"/>
      <c r="P106" s="197">
        <f t="shared" ref="P106:W106" si="117">P130*0.8</f>
        <v>15840</v>
      </c>
      <c r="Q106" s="197">
        <f t="shared" si="117"/>
        <v>18080</v>
      </c>
      <c r="R106" s="197">
        <f t="shared" si="117"/>
        <v>20360</v>
      </c>
      <c r="S106" s="197">
        <f t="shared" si="117"/>
        <v>22600</v>
      </c>
      <c r="T106" s="197">
        <f t="shared" si="117"/>
        <v>24440</v>
      </c>
      <c r="U106" s="197">
        <f t="shared" si="117"/>
        <v>26240</v>
      </c>
      <c r="V106" s="197">
        <f t="shared" si="117"/>
        <v>28040</v>
      </c>
      <c r="W106" s="197">
        <f t="shared" si="117"/>
        <v>29840</v>
      </c>
      <c r="X106" s="207"/>
      <c r="Y106" s="197">
        <f t="shared" ref="Y106:AF106" si="118">+Y130*0.8</f>
        <v>0</v>
      </c>
      <c r="Z106" s="197">
        <f t="shared" si="118"/>
        <v>0</v>
      </c>
      <c r="AA106" s="197">
        <f t="shared" si="118"/>
        <v>0</v>
      </c>
      <c r="AB106" s="197">
        <f t="shared" si="118"/>
        <v>0</v>
      </c>
      <c r="AC106" s="197">
        <f t="shared" si="118"/>
        <v>0</v>
      </c>
      <c r="AD106" s="197">
        <f t="shared" si="118"/>
        <v>0</v>
      </c>
      <c r="AE106" s="197">
        <f t="shared" si="118"/>
        <v>0</v>
      </c>
      <c r="AF106" s="197">
        <f t="shared" si="118"/>
        <v>0</v>
      </c>
      <c r="AG106" s="207"/>
      <c r="AH106" s="207"/>
      <c r="AI106" s="197">
        <f t="shared" ref="AI106:AP106" si="119">+AI130*0.8</f>
        <v>16360</v>
      </c>
      <c r="AJ106" s="197">
        <f t="shared" si="119"/>
        <v>18680</v>
      </c>
      <c r="AK106" s="197">
        <f t="shared" si="119"/>
        <v>21040</v>
      </c>
      <c r="AL106" s="197">
        <f t="shared" si="119"/>
        <v>23360</v>
      </c>
      <c r="AM106" s="197">
        <f t="shared" si="119"/>
        <v>25240</v>
      </c>
      <c r="AN106" s="197">
        <f t="shared" si="119"/>
        <v>27080</v>
      </c>
      <c r="AO106" s="197">
        <f t="shared" si="119"/>
        <v>28960</v>
      </c>
      <c r="AP106" s="197">
        <f t="shared" si="119"/>
        <v>30840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16960</v>
      </c>
      <c r="F107" s="299">
        <f t="shared" ref="F107:L107" si="120">+MAX(F106,F108)</f>
        <v>19400</v>
      </c>
      <c r="G107" s="299">
        <f t="shared" si="120"/>
        <v>21800</v>
      </c>
      <c r="H107" s="299">
        <f t="shared" si="120"/>
        <v>24240</v>
      </c>
      <c r="I107" s="299">
        <f t="shared" si="120"/>
        <v>26160</v>
      </c>
      <c r="J107" s="299">
        <f t="shared" si="120"/>
        <v>28120</v>
      </c>
      <c r="K107" s="299">
        <f t="shared" si="120"/>
        <v>30040</v>
      </c>
      <c r="L107" s="299">
        <f t="shared" si="120"/>
        <v>32000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16960</v>
      </c>
      <c r="F108" s="301">
        <f t="shared" ref="F108:L108" si="122">+MAX(Q108,Z108,AJ108)</f>
        <v>19400</v>
      </c>
      <c r="G108" s="301">
        <f t="shared" si="122"/>
        <v>21800</v>
      </c>
      <c r="H108" s="301">
        <f t="shared" si="122"/>
        <v>24240</v>
      </c>
      <c r="I108" s="301">
        <f t="shared" si="122"/>
        <v>26160</v>
      </c>
      <c r="J108" s="301">
        <f t="shared" si="122"/>
        <v>28120</v>
      </c>
      <c r="K108" s="301">
        <f t="shared" si="122"/>
        <v>30040</v>
      </c>
      <c r="L108" s="301">
        <f t="shared" si="122"/>
        <v>32000</v>
      </c>
      <c r="M108" s="207"/>
      <c r="N108" s="218" t="s">
        <v>2968</v>
      </c>
      <c r="O108" s="207"/>
      <c r="P108" s="197">
        <f>P132*0.8</f>
        <v>16440</v>
      </c>
      <c r="Q108" s="197">
        <f t="shared" ref="Q108:W108" si="123">Q132*0.8</f>
        <v>18800</v>
      </c>
      <c r="R108" s="197">
        <f t="shared" si="123"/>
        <v>21160</v>
      </c>
      <c r="S108" s="197">
        <f t="shared" si="123"/>
        <v>23480</v>
      </c>
      <c r="T108" s="197">
        <f t="shared" si="123"/>
        <v>25360</v>
      </c>
      <c r="U108" s="197">
        <f t="shared" si="123"/>
        <v>27240</v>
      </c>
      <c r="V108" s="197">
        <f t="shared" si="123"/>
        <v>29120</v>
      </c>
      <c r="W108" s="197">
        <f t="shared" si="123"/>
        <v>31000</v>
      </c>
      <c r="X108" s="207"/>
      <c r="Y108" s="197">
        <f>+Y132*0.8</f>
        <v>0</v>
      </c>
      <c r="Z108" s="197">
        <f t="shared" ref="Z108:AF108" si="124">+Z132*0.8</f>
        <v>0</v>
      </c>
      <c r="AA108" s="197">
        <f t="shared" si="124"/>
        <v>0</v>
      </c>
      <c r="AB108" s="197">
        <f t="shared" si="124"/>
        <v>0</v>
      </c>
      <c r="AC108" s="197">
        <f t="shared" si="124"/>
        <v>0</v>
      </c>
      <c r="AD108" s="197">
        <f t="shared" si="124"/>
        <v>0</v>
      </c>
      <c r="AE108" s="197">
        <f t="shared" si="124"/>
        <v>0</v>
      </c>
      <c r="AF108" s="197">
        <f t="shared" si="124"/>
        <v>0</v>
      </c>
      <c r="AG108" s="207"/>
      <c r="AH108" s="207"/>
      <c r="AI108" s="197">
        <f>+AI132*0.8</f>
        <v>16960</v>
      </c>
      <c r="AJ108" s="197">
        <f t="shared" ref="AJ108:AP108" si="125">+AJ132*0.8</f>
        <v>19400</v>
      </c>
      <c r="AK108" s="197">
        <f t="shared" si="125"/>
        <v>21800</v>
      </c>
      <c r="AL108" s="197">
        <f t="shared" si="125"/>
        <v>24240</v>
      </c>
      <c r="AM108" s="197">
        <f t="shared" si="125"/>
        <v>26160</v>
      </c>
      <c r="AN108" s="197">
        <f t="shared" si="125"/>
        <v>28120</v>
      </c>
      <c r="AO108" s="197">
        <f t="shared" si="125"/>
        <v>30040</v>
      </c>
      <c r="AP108" s="197">
        <f t="shared" si="125"/>
        <v>32000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16800</v>
      </c>
      <c r="F111" s="298">
        <f t="shared" si="128"/>
        <v>19200</v>
      </c>
      <c r="G111" s="298">
        <f t="shared" si="128"/>
        <v>21600</v>
      </c>
      <c r="H111" s="298">
        <f t="shared" si="128"/>
        <v>24000</v>
      </c>
      <c r="I111" s="298">
        <f t="shared" si="128"/>
        <v>25950</v>
      </c>
      <c r="J111" s="298">
        <f t="shared" si="128"/>
        <v>27850</v>
      </c>
      <c r="K111" s="298">
        <f t="shared" si="128"/>
        <v>29800</v>
      </c>
      <c r="L111" s="298">
        <f t="shared" si="128"/>
        <v>31700</v>
      </c>
      <c r="N111" s="91" t="str">
        <f>CONCATENATE($AU$10,$B$11,N110)</f>
        <v>Before 12-31-2008Anderson50</v>
      </c>
      <c r="P111" s="197">
        <f>VLOOKUP($N111,'pre 12-31-08'!$A$4:$L$1400,E$110+3,FALSE)</f>
        <v>16800</v>
      </c>
      <c r="Q111" s="197">
        <f>VLOOKUP($N111,'pre 12-31-08'!$A$4:$L$1400,F$110+3,FALSE)</f>
        <v>19200</v>
      </c>
      <c r="R111" s="197">
        <f>VLOOKUP($N111,'pre 12-31-08'!$A$4:$L$1400,G$110+3,FALSE)</f>
        <v>21600</v>
      </c>
      <c r="S111" s="197">
        <f>VLOOKUP($N111,'pre 12-31-08'!$A$4:$L$1400,H$110+3,FALSE)</f>
        <v>24000</v>
      </c>
      <c r="T111" s="197">
        <f>VLOOKUP($N111,'pre 12-31-08'!$A$4:$L$1400,I$110+3,FALSE)</f>
        <v>25950</v>
      </c>
      <c r="U111" s="197">
        <f>VLOOKUP($N111,'pre 12-31-08'!$A$4:$L$1400,J$110+3,FALSE)</f>
        <v>27850</v>
      </c>
      <c r="V111" s="197">
        <f>VLOOKUP($N111,'pre 12-31-08'!$A$4:$L$1400,K$110+3,FALSE)</f>
        <v>29800</v>
      </c>
      <c r="W111" s="197">
        <f>VLOOKUP($N111,'pre 12-31-08'!$A$4:$L$1400,L$110+3,FALSE)</f>
        <v>31700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18050</v>
      </c>
      <c r="F112" s="298">
        <f t="shared" si="128"/>
        <v>20650</v>
      </c>
      <c r="G112" s="298">
        <f t="shared" si="128"/>
        <v>23200</v>
      </c>
      <c r="H112" s="298">
        <f t="shared" si="128"/>
        <v>25800</v>
      </c>
      <c r="I112" s="298">
        <f t="shared" si="128"/>
        <v>27850</v>
      </c>
      <c r="J112" s="298">
        <f t="shared" si="128"/>
        <v>29950</v>
      </c>
      <c r="K112" s="298">
        <f t="shared" si="128"/>
        <v>32000</v>
      </c>
      <c r="L112" s="298">
        <f t="shared" si="128"/>
        <v>34050</v>
      </c>
      <c r="N112" s="91" t="str">
        <f>CONCATENATE($AU$11,$B$11,N110)</f>
        <v>1/1/2009 - 5/13/2010Anderson50</v>
      </c>
      <c r="P112" s="197">
        <f>VLOOKUP($N112,'1-1-09-5-14-10'!$A$4:$L$1400,E$110+3,FALSE)</f>
        <v>16800</v>
      </c>
      <c r="Q112" s="197">
        <f>VLOOKUP($N112,'1-1-09-5-14-10'!$A$4:$L$1400,F$110+3,FALSE)</f>
        <v>19200</v>
      </c>
      <c r="R112" s="197">
        <f>VLOOKUP($N112,'1-1-09-5-14-10'!$A$4:$L$1400,G$110+3,FALSE)</f>
        <v>21600</v>
      </c>
      <c r="S112" s="197">
        <f>VLOOKUP($N112,'1-1-09-5-14-10'!$A$4:$L$1400,H$110+3,FALSE)</f>
        <v>24000</v>
      </c>
      <c r="T112" s="197">
        <f>VLOOKUP($N112,'1-1-09-5-14-10'!$A$4:$L$1400,I$110+3,FALSE)</f>
        <v>25950</v>
      </c>
      <c r="U112" s="197">
        <f>VLOOKUP($N112,'1-1-09-5-14-10'!$A$4:$L$1400,J$110+3,FALSE)</f>
        <v>27850</v>
      </c>
      <c r="V112" s="197">
        <f>VLOOKUP($N112,'1-1-09-5-14-10'!$A$4:$L$1400,K$110+3,FALSE)</f>
        <v>29800</v>
      </c>
      <c r="W112" s="197">
        <f>VLOOKUP($N112,'1-1-09-5-14-10'!$A$4:$L$1400,L$110+3,FALSE)</f>
        <v>31700</v>
      </c>
      <c r="Y112" s="38"/>
      <c r="Z112" s="30"/>
      <c r="AA112" s="30"/>
      <c r="AB112" s="30"/>
      <c r="AC112" s="30"/>
      <c r="AD112" s="30"/>
      <c r="AE112" s="30"/>
      <c r="AF112" s="39"/>
      <c r="AH112" s="169" t="str">
        <f>IF(AND((IF(ISNA(VLOOKUP($B$13,$AW$10:$AW$556,1,FALSE)),0,VLOOKUP($B$13,$AW$10:$AW$556,1,FALSE)))=0,$AL$184&gt;$S$184,OR($B$16=$AS$11,$B$16=$AS$15)),"Yes","No")</f>
        <v>Yes</v>
      </c>
      <c r="AI112" s="197">
        <f>IF($AH112="No",0,18050)</f>
        <v>18050</v>
      </c>
      <c r="AJ112" s="197">
        <f>IF($AH112="No",0,20650)</f>
        <v>20650</v>
      </c>
      <c r="AK112" s="197">
        <f>IF($AH112="No",0,23200)</f>
        <v>23200</v>
      </c>
      <c r="AL112" s="197">
        <f>IF($AH112="No",0,25800)</f>
        <v>25800</v>
      </c>
      <c r="AM112" s="197">
        <f>IF($AH112="No",0,27850)</f>
        <v>27850</v>
      </c>
      <c r="AN112" s="197">
        <f>IF($AH112="No",0,29950)</f>
        <v>29950</v>
      </c>
      <c r="AO112" s="197">
        <f>IF($AH112="No",0,32000)</f>
        <v>32000</v>
      </c>
      <c r="AP112" s="197">
        <f>IF($AH112="No",0,34050)</f>
        <v>34050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18050</v>
      </c>
      <c r="F113" s="299">
        <f t="shared" si="130"/>
        <v>20650</v>
      </c>
      <c r="G113" s="299">
        <f t="shared" si="130"/>
        <v>23200</v>
      </c>
      <c r="H113" s="299">
        <f t="shared" si="130"/>
        <v>25800</v>
      </c>
      <c r="I113" s="299">
        <f t="shared" si="130"/>
        <v>27850</v>
      </c>
      <c r="J113" s="299">
        <f t="shared" si="130"/>
        <v>29950</v>
      </c>
      <c r="K113" s="299">
        <f t="shared" si="130"/>
        <v>32000</v>
      </c>
      <c r="L113" s="299">
        <f t="shared" si="130"/>
        <v>34050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18050</v>
      </c>
      <c r="F114" s="298">
        <f t="shared" si="131"/>
        <v>20650</v>
      </c>
      <c r="G114" s="298">
        <f t="shared" si="131"/>
        <v>23200</v>
      </c>
      <c r="H114" s="298">
        <f t="shared" si="131"/>
        <v>25800</v>
      </c>
      <c r="I114" s="298">
        <f t="shared" si="131"/>
        <v>27850</v>
      </c>
      <c r="J114" s="298">
        <f t="shared" si="131"/>
        <v>29950</v>
      </c>
      <c r="K114" s="298">
        <f t="shared" si="131"/>
        <v>32000</v>
      </c>
      <c r="L114" s="298">
        <f t="shared" si="131"/>
        <v>34050</v>
      </c>
      <c r="N114" s="91" t="str">
        <f>CONCATENATE($AU$13,$B$11,N110)</f>
        <v>6/29/2010 - 5/30/2011Anderson50</v>
      </c>
      <c r="P114" s="197">
        <f>VLOOKUP($N114,'5-14-10-5-31-11'!$A$4:$L$1400,E$110+3,FALSE)</f>
        <v>16800</v>
      </c>
      <c r="Q114" s="197">
        <f>VLOOKUP($N114,'5-14-10-5-31-11'!$A$4:$L$1400,F$110+3,FALSE)</f>
        <v>19200</v>
      </c>
      <c r="R114" s="197">
        <f>VLOOKUP($N114,'5-14-10-5-31-11'!$A$4:$L$1400,G$110+3,FALSE)</f>
        <v>21600</v>
      </c>
      <c r="S114" s="197">
        <f>VLOOKUP($N114,'5-14-10-5-31-11'!$A$4:$L$1400,H$110+3,FALSE)</f>
        <v>24000</v>
      </c>
      <c r="T114" s="197">
        <f>VLOOKUP($N114,'5-14-10-5-31-11'!$A$4:$L$1400,I$110+3,FALSE)</f>
        <v>25950</v>
      </c>
      <c r="U114" s="197">
        <f>VLOOKUP($N114,'5-14-10-5-31-11'!$A$4:$L$1400,J$110+3,FALSE)</f>
        <v>27850</v>
      </c>
      <c r="V114" s="197">
        <f>VLOOKUP($N114,'5-14-10-5-31-11'!$A$4:$L$1400,K$110+3,FALSE)</f>
        <v>29800</v>
      </c>
      <c r="W114" s="197">
        <f>VLOOKUP($N114,'5-14-10-5-31-11'!$A$4:$L$1400,L$110+3,FALSE)</f>
        <v>31700</v>
      </c>
      <c r="Y114" s="38"/>
      <c r="Z114" s="30"/>
      <c r="AA114" s="30"/>
      <c r="AB114" s="30"/>
      <c r="AC114" s="30"/>
      <c r="AD114" s="30"/>
      <c r="AE114" s="30"/>
      <c r="AF114" s="39"/>
      <c r="AH114" s="169" t="str">
        <f>IF(AND((IF(ISNA(VLOOKUP($B$13,$AX$10:$AX$556,1,FALSE)),0,VLOOKUP($B$13,$AX$10:$AX$556,1,FALSE)))=0,AL186&gt;S186,OR($B$16=$AS$11,$B$16=$AS$15)),"Yes","No")</f>
        <v>Yes</v>
      </c>
      <c r="AI114" s="197">
        <f>IF($AH114="No",0,18050)</f>
        <v>18050</v>
      </c>
      <c r="AJ114" s="197">
        <f>IF($AH114="No",0,20650)</f>
        <v>20650</v>
      </c>
      <c r="AK114" s="197">
        <f>IF($AH114="No",0,23200)</f>
        <v>23200</v>
      </c>
      <c r="AL114" s="197">
        <f>IF($AH114="No",0,25800)</f>
        <v>25800</v>
      </c>
      <c r="AM114" s="197">
        <f>IF($AH114="No",0,27850)</f>
        <v>27850</v>
      </c>
      <c r="AN114" s="197">
        <f>IF($AH114="No",0,29950)</f>
        <v>29950</v>
      </c>
      <c r="AO114" s="197">
        <f>IF($AH114="No",0,32000)</f>
        <v>32000</v>
      </c>
      <c r="AP114" s="197">
        <f>IF($AH114="No",0,34050)</f>
        <v>34050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18250</v>
      </c>
      <c r="F115" s="299">
        <f t="shared" si="132"/>
        <v>20850</v>
      </c>
      <c r="G115" s="299">
        <f t="shared" si="132"/>
        <v>23450</v>
      </c>
      <c r="H115" s="299">
        <f t="shared" si="132"/>
        <v>26050</v>
      </c>
      <c r="I115" s="299">
        <f t="shared" si="132"/>
        <v>28150</v>
      </c>
      <c r="J115" s="299">
        <f t="shared" si="132"/>
        <v>30250</v>
      </c>
      <c r="K115" s="299">
        <f t="shared" si="132"/>
        <v>32350</v>
      </c>
      <c r="L115" s="299">
        <f t="shared" si="132"/>
        <v>34400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18250</v>
      </c>
      <c r="F116" s="298">
        <f t="shared" si="133"/>
        <v>20850</v>
      </c>
      <c r="G116" s="298">
        <f t="shared" si="133"/>
        <v>23450</v>
      </c>
      <c r="H116" s="298">
        <f t="shared" si="133"/>
        <v>26050</v>
      </c>
      <c r="I116" s="298">
        <f t="shared" si="133"/>
        <v>28150</v>
      </c>
      <c r="J116" s="298">
        <f t="shared" si="133"/>
        <v>30250</v>
      </c>
      <c r="K116" s="298">
        <f t="shared" si="133"/>
        <v>32350</v>
      </c>
      <c r="L116" s="298">
        <f t="shared" si="133"/>
        <v>34400</v>
      </c>
      <c r="N116" s="91" t="str">
        <f>CONCATENATE(AU15,$B$11)</f>
        <v>7/16/2011 - 11/31/2011Anderson</v>
      </c>
      <c r="P116" s="197">
        <f>VLOOKUP($N116,'6-1-11'!$A$4:$L$257,E$110+4,FALSE)</f>
        <v>17650</v>
      </c>
      <c r="Q116" s="197">
        <f>VLOOKUP($N116,'6-1-11'!$A$4:$L$257,F$110+4,FALSE)</f>
        <v>20200</v>
      </c>
      <c r="R116" s="197">
        <f>VLOOKUP($N116,'6-1-11'!$A$4:$L$257,G$110+4,FALSE)</f>
        <v>22700</v>
      </c>
      <c r="S116" s="197">
        <f>VLOOKUP($N116,'6-1-11'!$A$4:$L$257,H$110+4,FALSE)</f>
        <v>25200</v>
      </c>
      <c r="T116" s="197">
        <f>VLOOKUP($N116,'6-1-11'!$A$4:$L$257,I$110+4,FALSE)</f>
        <v>27250</v>
      </c>
      <c r="U116" s="197">
        <f>VLOOKUP($N116,'6-1-11'!$A$4:$L$257,J$110+4,FALSE)</f>
        <v>29250</v>
      </c>
      <c r="V116" s="197">
        <f>VLOOKUP($N116,'6-1-11'!$A$4:$L$257,K$110+4,FALSE)</f>
        <v>31250</v>
      </c>
      <c r="W116" s="197">
        <f>VLOOKUP($N116,'6-1-11'!$A$4:$L$257,L$110+4,FALSE)</f>
        <v>33300</v>
      </c>
      <c r="Y116" s="197">
        <f>IF($B$18=$AU$10,VLOOKUP($N116,'6-1-11'!$A$4:$AK$257,E$110+21,FALSE),0)</f>
        <v>18250</v>
      </c>
      <c r="Z116" s="197">
        <f>IF($B$18=$AU$10,VLOOKUP($N116,'6-1-11'!$A$4:$AK$257,F$110+21,FALSE),0)</f>
        <v>20850</v>
      </c>
      <c r="AA116" s="197">
        <f>IF($B$18=$AU$10,VLOOKUP($N116,'6-1-11'!$A$4:$AK$257,G$110+21,FALSE),0)</f>
        <v>23450</v>
      </c>
      <c r="AB116" s="197">
        <f>IF($B$18=$AU$10,VLOOKUP($N116,'6-1-11'!$A$4:$AK$257,H$110+21,FALSE),0)</f>
        <v>26050</v>
      </c>
      <c r="AC116" s="197">
        <f>IF($B$18=$AU$10,VLOOKUP($N116,'6-1-11'!$A$4:$AK$257,I$110+21,FALSE),0)</f>
        <v>28150</v>
      </c>
      <c r="AD116" s="197">
        <f>IF($B$18=$AU$10,VLOOKUP($N116,'6-1-11'!$A$4:$AK$257,J$110+21,FALSE),0)</f>
        <v>30250</v>
      </c>
      <c r="AE116" s="197">
        <f>IF($B$18=$AU$10,VLOOKUP($N116,'6-1-11'!$A$4:$AK$257,K$110+21,FALSE),0)</f>
        <v>32350</v>
      </c>
      <c r="AF116" s="197">
        <f>IF($B$18=$AU$10,VLOOKUP($N116,'6-1-11'!$A$4:$AK$257,L$110+21,FALSE),0)</f>
        <v>34400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18500</v>
      </c>
      <c r="F117" s="299">
        <f t="shared" si="134"/>
        <v>21150</v>
      </c>
      <c r="G117" s="299">
        <f t="shared" si="134"/>
        <v>23800</v>
      </c>
      <c r="H117" s="299">
        <f t="shared" si="134"/>
        <v>26400</v>
      </c>
      <c r="I117" s="299">
        <f t="shared" si="134"/>
        <v>28550</v>
      </c>
      <c r="J117" s="299">
        <f t="shared" si="134"/>
        <v>30650</v>
      </c>
      <c r="K117" s="299">
        <f t="shared" si="134"/>
        <v>32750</v>
      </c>
      <c r="L117" s="299">
        <f t="shared" si="134"/>
        <v>34850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18500</v>
      </c>
      <c r="F118" s="298">
        <f t="shared" si="135"/>
        <v>21150</v>
      </c>
      <c r="G118" s="298">
        <f t="shared" si="135"/>
        <v>23800</v>
      </c>
      <c r="H118" s="298">
        <f t="shared" si="135"/>
        <v>26400</v>
      </c>
      <c r="I118" s="298">
        <f t="shared" si="135"/>
        <v>28550</v>
      </c>
      <c r="J118" s="298">
        <f t="shared" si="135"/>
        <v>30650</v>
      </c>
      <c r="K118" s="298">
        <f t="shared" si="135"/>
        <v>32750</v>
      </c>
      <c r="L118" s="298">
        <f t="shared" si="135"/>
        <v>34850</v>
      </c>
      <c r="M118" s="6"/>
      <c r="N118" s="91" t="str">
        <f>CONCATENATE(AU17,$B$11)</f>
        <v>1/16/2012 - 12/3/2012Anderson</v>
      </c>
      <c r="O118" s="6"/>
      <c r="P118" s="197">
        <f>VLOOKUP($N118,'12-1-11'!$A$4:$L$257,E$110+4,FALSE)</f>
        <v>18500</v>
      </c>
      <c r="Q118" s="197">
        <f>VLOOKUP($N118,'12-1-11'!$A$4:$L$257,F$110+4,FALSE)</f>
        <v>21150</v>
      </c>
      <c r="R118" s="197">
        <f>VLOOKUP($N118,'12-1-11'!$A$4:$L$257,G$110+4,FALSE)</f>
        <v>23800</v>
      </c>
      <c r="S118" s="197">
        <f>VLOOKUP($N118,'12-1-11'!$A$4:$L$257,H$110+4,FALSE)</f>
        <v>26400</v>
      </c>
      <c r="T118" s="197">
        <f>VLOOKUP($N118,'12-1-11'!$A$4:$L$257,I$110+4,FALSE)</f>
        <v>28550</v>
      </c>
      <c r="U118" s="197">
        <f>VLOOKUP($N118,'12-1-11'!$A$4:$L$257,J$110+4,FALSE)</f>
        <v>30650</v>
      </c>
      <c r="V118" s="197">
        <f>VLOOKUP($N118,'12-1-11'!$A$4:$L$257,K$110+4,FALSE)</f>
        <v>32750</v>
      </c>
      <c r="W118" s="197">
        <f>VLOOKUP($N118,'12-1-11'!$A$4:$L$257,L$110+4,FALSE)</f>
        <v>34850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19450</v>
      </c>
      <c r="F119" s="299">
        <f t="shared" si="136"/>
        <v>22200</v>
      </c>
      <c r="G119" s="299">
        <f t="shared" si="136"/>
        <v>25000</v>
      </c>
      <c r="H119" s="299">
        <f t="shared" si="136"/>
        <v>27750</v>
      </c>
      <c r="I119" s="299">
        <f t="shared" si="136"/>
        <v>30000</v>
      </c>
      <c r="J119" s="299">
        <f t="shared" si="136"/>
        <v>32200</v>
      </c>
      <c r="K119" s="299">
        <f t="shared" si="136"/>
        <v>34450</v>
      </c>
      <c r="L119" s="299">
        <f t="shared" si="136"/>
        <v>36650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19450</v>
      </c>
      <c r="F120" s="298">
        <f t="shared" si="137"/>
        <v>22200</v>
      </c>
      <c r="G120" s="298">
        <f t="shared" si="137"/>
        <v>25000</v>
      </c>
      <c r="H120" s="298">
        <f t="shared" si="137"/>
        <v>27750</v>
      </c>
      <c r="I120" s="298">
        <f t="shared" si="137"/>
        <v>30000</v>
      </c>
      <c r="J120" s="298">
        <f t="shared" si="137"/>
        <v>32200</v>
      </c>
      <c r="K120" s="298">
        <f t="shared" si="137"/>
        <v>34450</v>
      </c>
      <c r="L120" s="298">
        <f t="shared" si="137"/>
        <v>36650</v>
      </c>
      <c r="M120" s="6"/>
      <c r="N120" s="91" t="str">
        <f>CONCATENATE(AU19,$B$11)</f>
        <v>1/18/2013 - 12/17/2013Anderson</v>
      </c>
      <c r="O120" s="6"/>
      <c r="P120" s="197">
        <f>VLOOKUP($N120,'2013 placeholder'!$A$4:$L$257,E$110+4,FALSE)</f>
        <v>19400</v>
      </c>
      <c r="Q120" s="197">
        <f>VLOOKUP($N120,'2013 placeholder'!$A$4:$L$257,F$110+4,FALSE)</f>
        <v>22200</v>
      </c>
      <c r="R120" s="197">
        <f>VLOOKUP($N120,'2013 placeholder'!$A$4:$L$257,G$110+4,FALSE)</f>
        <v>24950</v>
      </c>
      <c r="S120" s="197">
        <f>VLOOKUP($N120,'2013 placeholder'!$A$4:$L$257,H$110+4,FALSE)</f>
        <v>27700</v>
      </c>
      <c r="T120" s="197">
        <f>VLOOKUP($N120,'2013 placeholder'!$A$4:$L$257,I$110+4,FALSE)</f>
        <v>29950</v>
      </c>
      <c r="U120" s="197">
        <f>VLOOKUP($N120,'2013 placeholder'!$A$4:$L$257,J$110+4,FALSE)</f>
        <v>32150</v>
      </c>
      <c r="V120" s="197">
        <f>VLOOKUP($N120,'2013 placeholder'!$A$4:$L$257,K$110+4,FALSE)</f>
        <v>34350</v>
      </c>
      <c r="W120" s="197">
        <f>VLOOKUP($N120,'2013 placeholder'!$A$4:$L$257,L$110+4,FALSE)</f>
        <v>36600</v>
      </c>
      <c r="X120" s="6"/>
      <c r="Y120" s="197">
        <f>IF($B$18=$AU$10,VLOOKUP($N120,'2013 placeholder'!$A$4:$AK$257,E$110+21,FALSE),0)</f>
        <v>19450</v>
      </c>
      <c r="Z120" s="197">
        <f>IF($B$18=$AU$10,VLOOKUP($N120,'2013 placeholder'!$A$4:$AK$257,F$110+21,FALSE),0)</f>
        <v>22200</v>
      </c>
      <c r="AA120" s="197">
        <f>IF($B$18=$AU$10,VLOOKUP($N120,'2013 placeholder'!$A$4:$AK$257,G$110+21,FALSE),0)</f>
        <v>25000</v>
      </c>
      <c r="AB120" s="197">
        <f>IF($B$18=$AU$10,VLOOKUP($N120,'2013 placeholder'!$A$4:$AK$257,H$110+21,FALSE),0)</f>
        <v>27750</v>
      </c>
      <c r="AC120" s="197">
        <f>IF($B$18=$AU$10,VLOOKUP($N120,'2013 placeholder'!$A$4:$AK$257,I$110+21,FALSE),0)</f>
        <v>30000</v>
      </c>
      <c r="AD120" s="197">
        <f>IF($B$18=$AU$10,VLOOKUP($N120,'2013 placeholder'!$A$4:$AK$257,J$110+21,FALSE),0)</f>
        <v>32200</v>
      </c>
      <c r="AE120" s="197">
        <f>IF($B$18=$AU$10,VLOOKUP($N120,'2013 placeholder'!$A$4:$AK$257,K$110+21,FALSE),0)</f>
        <v>34450</v>
      </c>
      <c r="AF120" s="197">
        <f>IF($B$18=$AU$10,VLOOKUP($N120,'2013 placeholder'!$A$4:$AK$257,L$110+21,FALSE),0)</f>
        <v>36650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19450</v>
      </c>
      <c r="F121" s="299">
        <f t="shared" si="138"/>
        <v>22200</v>
      </c>
      <c r="G121" s="299">
        <f t="shared" si="138"/>
        <v>25000</v>
      </c>
      <c r="H121" s="299">
        <f t="shared" si="138"/>
        <v>27750</v>
      </c>
      <c r="I121" s="299">
        <f t="shared" si="138"/>
        <v>30000</v>
      </c>
      <c r="J121" s="299">
        <f t="shared" si="138"/>
        <v>32200</v>
      </c>
      <c r="K121" s="299">
        <f t="shared" si="138"/>
        <v>34450</v>
      </c>
      <c r="L121" s="299">
        <f t="shared" si="138"/>
        <v>36650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19450</v>
      </c>
      <c r="F122" s="298">
        <f t="shared" si="139"/>
        <v>22200</v>
      </c>
      <c r="G122" s="298">
        <f t="shared" si="139"/>
        <v>25000</v>
      </c>
      <c r="H122" s="298">
        <f t="shared" si="139"/>
        <v>27750</v>
      </c>
      <c r="I122" s="298">
        <f t="shared" si="139"/>
        <v>30000</v>
      </c>
      <c r="J122" s="298">
        <f t="shared" si="139"/>
        <v>32200</v>
      </c>
      <c r="K122" s="298">
        <f t="shared" si="139"/>
        <v>34450</v>
      </c>
      <c r="L122" s="298">
        <f t="shared" si="139"/>
        <v>36650</v>
      </c>
      <c r="N122" s="95" t="str">
        <f>CONCATENATE(AU21,$B$11)</f>
        <v>2/1/2014 - 3/5/2015Anderson</v>
      </c>
      <c r="P122" s="197">
        <f>VLOOKUP($N122,'2014 placeholder'!$A$4:$L$257,E$110+4,FALSE)</f>
        <v>19000</v>
      </c>
      <c r="Q122" s="197">
        <f>VLOOKUP($N122,'2014 placeholder'!$A$4:$L$257,F$110+4,FALSE)</f>
        <v>21700</v>
      </c>
      <c r="R122" s="197">
        <f>VLOOKUP($N122,'2014 placeholder'!$A$4:$L$257,G$110+4,FALSE)</f>
        <v>24400</v>
      </c>
      <c r="S122" s="197">
        <f>VLOOKUP($N122,'2014 placeholder'!$A$4:$L$257,H$110+4,FALSE)</f>
        <v>27100</v>
      </c>
      <c r="T122" s="197">
        <f>VLOOKUP($N122,'2014 placeholder'!$A$4:$L$257,I$110+4,FALSE)</f>
        <v>29300</v>
      </c>
      <c r="U122" s="197">
        <f>VLOOKUP($N122,'2014 placeholder'!$A$4:$L$257,J$110+4,FALSE)</f>
        <v>31450</v>
      </c>
      <c r="V122" s="197">
        <f>VLOOKUP($N122,'2014 placeholder'!$A$4:$L$257,K$110+4,FALSE)</f>
        <v>33650</v>
      </c>
      <c r="W122" s="197">
        <f>VLOOKUP($N122,'2014 placeholder'!$A$4:$L$257,L$110+4,FALSE)</f>
        <v>35800</v>
      </c>
      <c r="Y122" s="197">
        <f>IF($B$18=$AU$10,VLOOKUP($N122,'2014 placeholder'!$A$4:$AK$257,E$110+21,FALSE),0)</f>
        <v>19450</v>
      </c>
      <c r="Z122" s="197">
        <f>IF($B$18=$AU$10,VLOOKUP($N122,'2014 placeholder'!$A$4:$AK$257,F$110+21,FALSE),0)</f>
        <v>22200</v>
      </c>
      <c r="AA122" s="197">
        <f>IF($B$18=$AU$10,VLOOKUP($N122,'2014 placeholder'!$A$4:$AK$257,G$110+21,FALSE),0)</f>
        <v>25000</v>
      </c>
      <c r="AB122" s="197">
        <f>IF($B$18=$AU$10,VLOOKUP($N122,'2014 placeholder'!$A$4:$AK$257,H$110+21,FALSE),0)</f>
        <v>27750</v>
      </c>
      <c r="AC122" s="197">
        <f>IF($B$18=$AU$10,VLOOKUP($N122,'2014 placeholder'!$A$4:$AK$257,I$110+21,FALSE),0)</f>
        <v>30000</v>
      </c>
      <c r="AD122" s="197">
        <f>IF($B$18=$AU$10,VLOOKUP($N122,'2014 placeholder'!$A$4:$AK$257,J$110+21,FALSE),0)</f>
        <v>32200</v>
      </c>
      <c r="AE122" s="197">
        <f>IF($B$18=$AU$10,VLOOKUP($N122,'2014 placeholder'!$A$4:$AK$257,K$110+21,FALSE),0)</f>
        <v>34450</v>
      </c>
      <c r="AF122" s="197">
        <f>IF($B$18=$AU$10,VLOOKUP($N122,'2014 placeholder'!$A$4:$AK$257,L$110+21,FALSE),0)</f>
        <v>36650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19450</v>
      </c>
      <c r="F123" s="299">
        <f t="shared" ref="F123:L123" si="140">+MAX(F122,F124)</f>
        <v>22200</v>
      </c>
      <c r="G123" s="299">
        <f t="shared" si="140"/>
        <v>25000</v>
      </c>
      <c r="H123" s="299">
        <f t="shared" si="140"/>
        <v>27750</v>
      </c>
      <c r="I123" s="299">
        <f t="shared" si="140"/>
        <v>30000</v>
      </c>
      <c r="J123" s="299">
        <f t="shared" si="140"/>
        <v>32200</v>
      </c>
      <c r="K123" s="299">
        <f t="shared" si="140"/>
        <v>34450</v>
      </c>
      <c r="L123" s="299">
        <f t="shared" si="140"/>
        <v>36650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19450</v>
      </c>
      <c r="F124" s="300">
        <f t="shared" si="141"/>
        <v>22200</v>
      </c>
      <c r="G124" s="300">
        <f t="shared" si="141"/>
        <v>25000</v>
      </c>
      <c r="H124" s="300">
        <f t="shared" si="141"/>
        <v>27750</v>
      </c>
      <c r="I124" s="300">
        <f t="shared" si="141"/>
        <v>30000</v>
      </c>
      <c r="J124" s="300">
        <f t="shared" si="141"/>
        <v>32200</v>
      </c>
      <c r="K124" s="300">
        <f t="shared" si="141"/>
        <v>34450</v>
      </c>
      <c r="L124" s="300">
        <f t="shared" si="141"/>
        <v>36650</v>
      </c>
      <c r="N124" s="95" t="str">
        <f>CONCATENATE(AU23,$B$11)</f>
        <v>4/21/2015 - 3/27/2016Anderson</v>
      </c>
      <c r="P124" s="197">
        <f>VLOOKUP($N124,'2015 MTSP Limits'!$A$4:$L$257,E$110+4,FALSE)</f>
        <v>19250</v>
      </c>
      <c r="Q124" s="197">
        <f>VLOOKUP($N124,'2015 MTSP Limits'!$A$4:$L$257,F$110+4,FALSE)</f>
        <v>22000</v>
      </c>
      <c r="R124" s="197">
        <f>VLOOKUP($N124,'2015 MTSP Limits'!$A$4:$L$257,G$110+4,FALSE)</f>
        <v>24750</v>
      </c>
      <c r="S124" s="197">
        <f>VLOOKUP($N124,'2015 MTSP Limits'!$A$4:$L$257,H$110+4,FALSE)</f>
        <v>27500</v>
      </c>
      <c r="T124" s="197">
        <f>VLOOKUP($N124,'2015 MTSP Limits'!$A$4:$L$257,I$110+4,FALSE)</f>
        <v>29700</v>
      </c>
      <c r="U124" s="197">
        <f>VLOOKUP($N124,'2015 MTSP Limits'!$A$4:$L$257,J$110+4,FALSE)</f>
        <v>31900</v>
      </c>
      <c r="V124" s="197">
        <f>VLOOKUP($N124,'2015 MTSP Limits'!$A$4:$L$257,K$110+4,FALSE)</f>
        <v>34100</v>
      </c>
      <c r="W124" s="197">
        <f>VLOOKUP($N124,'2015 MTSP Limits'!$A$4:$L$257,L$110+4,FALSE)</f>
        <v>36300</v>
      </c>
      <c r="Y124" s="197">
        <f>IF($B$18=$AU$10,VLOOKUP($N124,'2015 MTSP Limits'!$A$4:$AK$257,E$110+21,FALSE),0)</f>
        <v>19450</v>
      </c>
      <c r="Z124" s="197">
        <f>IF($B$18=$AU$10,VLOOKUP($N124,'2015 MTSP Limits'!$A$4:$AK$257,F$110+21,FALSE),0)</f>
        <v>22200</v>
      </c>
      <c r="AA124" s="197">
        <f>IF($B$18=$AU$10,VLOOKUP($N124,'2015 MTSP Limits'!$A$4:$AK$257,G$110+21,FALSE),0)</f>
        <v>25000</v>
      </c>
      <c r="AB124" s="197">
        <f>IF($B$18=$AU$10,VLOOKUP($N124,'2015 MTSP Limits'!$A$4:$AK$257,H$110+21,FALSE),0)</f>
        <v>27750</v>
      </c>
      <c r="AC124" s="197">
        <f>IF($B$18=$AU$10,VLOOKUP($N124,'2015 MTSP Limits'!$A$4:$AK$257,I$110+21,FALSE),0)</f>
        <v>30000</v>
      </c>
      <c r="AD124" s="197">
        <f>IF($B$18=$AU$10,VLOOKUP($N124,'2015 MTSP Limits'!$A$4:$AK$257,J$110+21,FALSE),0)</f>
        <v>32200</v>
      </c>
      <c r="AE124" s="197">
        <f>IF($B$18=$AU$10,VLOOKUP($N124,'2015 MTSP Limits'!$A$4:$AK$257,K$110+21,FALSE),0)</f>
        <v>34450</v>
      </c>
      <c r="AF124" s="197">
        <f>IF($B$18=$AU$10,VLOOKUP($N124,'2015 MTSP Limits'!$A$4:$AK$257,L$110+21,FALSE),0)</f>
        <v>36650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3013</v>
      </c>
    </row>
    <row r="125" spans="1:64" hidden="1">
      <c r="A125" s="188">
        <f t="shared" si="126"/>
        <v>0</v>
      </c>
      <c r="B125" s="188">
        <f t="shared" si="129"/>
        <v>1</v>
      </c>
      <c r="C125" s="188">
        <f t="shared" si="127"/>
        <v>1</v>
      </c>
      <c r="E125" s="299">
        <f>+MAX(E124,E126)</f>
        <v>19450</v>
      </c>
      <c r="F125" s="299">
        <f t="shared" ref="F125:L125" si="142">+MAX(F124,F126)</f>
        <v>22200</v>
      </c>
      <c r="G125" s="299">
        <f t="shared" si="142"/>
        <v>25000</v>
      </c>
      <c r="H125" s="299">
        <f t="shared" si="142"/>
        <v>27750</v>
      </c>
      <c r="I125" s="299">
        <f t="shared" si="142"/>
        <v>30000</v>
      </c>
      <c r="J125" s="299">
        <f t="shared" si="142"/>
        <v>32200</v>
      </c>
      <c r="K125" s="299">
        <f t="shared" si="142"/>
        <v>34450</v>
      </c>
      <c r="L125" s="299">
        <f t="shared" si="142"/>
        <v>36650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19450</v>
      </c>
      <c r="F126" s="300">
        <f t="shared" si="144"/>
        <v>22200</v>
      </c>
      <c r="G126" s="300">
        <f t="shared" si="144"/>
        <v>25000</v>
      </c>
      <c r="H126" s="300">
        <f t="shared" si="144"/>
        <v>27750</v>
      </c>
      <c r="I126" s="300">
        <f t="shared" si="144"/>
        <v>30000</v>
      </c>
      <c r="J126" s="300">
        <f t="shared" si="144"/>
        <v>32200</v>
      </c>
      <c r="K126" s="300">
        <f t="shared" si="144"/>
        <v>34450</v>
      </c>
      <c r="L126" s="300">
        <f t="shared" si="144"/>
        <v>36650</v>
      </c>
      <c r="N126" s="95" t="str">
        <f>CONCATENATE(AU25,$B$11)</f>
        <v>5/13/2016 - 4/13/2017Anderson</v>
      </c>
      <c r="P126" s="197">
        <f>VLOOKUP($N126,MTSP2016!$A$4:$L$257,E$110+4,FALSE)</f>
        <v>18750</v>
      </c>
      <c r="Q126" s="197">
        <f>VLOOKUP($N126,MTSP2016!$A$4:$L$257,F$110+4,FALSE)</f>
        <v>21400</v>
      </c>
      <c r="R126" s="197">
        <f>VLOOKUP($N126,MTSP2016!$A$4:$L$257,G$110+4,FALSE)</f>
        <v>24100</v>
      </c>
      <c r="S126" s="197">
        <f>VLOOKUP($N126,MTSP2016!$A$4:$L$257,H$110+4,FALSE)</f>
        <v>26750</v>
      </c>
      <c r="T126" s="197">
        <f>VLOOKUP($N126,MTSP2016!$A$4:$L$257,I$110+4,FALSE)</f>
        <v>28900</v>
      </c>
      <c r="U126" s="197">
        <f>VLOOKUP($N126,MTSP2016!$A$4:$L$257,J$110+4,FALSE)</f>
        <v>31050</v>
      </c>
      <c r="V126" s="197">
        <f>VLOOKUP($N126,MTSP2016!$A$4:$L$257,K$110+4,FALSE)</f>
        <v>33200</v>
      </c>
      <c r="W126" s="197">
        <f>VLOOKUP($N126,MTSP2016!$A$4:$L$257,L$110+4,FALSE)</f>
        <v>35350</v>
      </c>
      <c r="X126" s="207"/>
      <c r="Y126" s="197">
        <f>IF($B$18=$AU$10,VLOOKUP($N126,MTSP2016!$A$4:$AK$257,E$110+21,FALSE),0)</f>
        <v>19450</v>
      </c>
      <c r="Z126" s="197">
        <f>IF($B$18=$AU$10,VLOOKUP($N126,MTSP2016!$A$4:$AK$257,F$110+21,FALSE),0)</f>
        <v>22200</v>
      </c>
      <c r="AA126" s="197">
        <f>IF($B$18=$AU$10,VLOOKUP($N126,MTSP2016!$A$4:$AK$257,G$110+21,FALSE),0)</f>
        <v>25000</v>
      </c>
      <c r="AB126" s="197">
        <f>IF($B$18=$AU$10,VLOOKUP($N126,MTSP2016!$A$4:$AK$257,H$110+21,FALSE),0)</f>
        <v>27750</v>
      </c>
      <c r="AC126" s="197">
        <f>IF($B$18=$AU$10,VLOOKUP($N126,MTSP2016!$A$4:$AK$257,I$110+21,FALSE),0)</f>
        <v>30000</v>
      </c>
      <c r="AD126" s="197">
        <f>IF($B$18=$AU$10,VLOOKUP($N126,MTSP2016!$A$4:$AK$257,J$110+21,FALSE),0)</f>
        <v>32200</v>
      </c>
      <c r="AE126" s="197">
        <f>IF($B$18=$AU$10,VLOOKUP($N126,MTSP2016!$A$4:$AK$257,K$110+21,FALSE),0)</f>
        <v>34450</v>
      </c>
      <c r="AF126" s="197">
        <f>IF($B$18=$AU$10,VLOOKUP($N126,MTSP2016!$A$4:$AK$257,L$110+21,FALSE),0)</f>
        <v>36650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19600</v>
      </c>
      <c r="F127" s="299">
        <f t="shared" ref="F127:L129" si="145">+MAX(F126,F128)</f>
        <v>22400</v>
      </c>
      <c r="G127" s="299">
        <f t="shared" si="145"/>
        <v>25200</v>
      </c>
      <c r="H127" s="299">
        <f t="shared" si="145"/>
        <v>28000</v>
      </c>
      <c r="I127" s="299">
        <f t="shared" si="145"/>
        <v>30250</v>
      </c>
      <c r="J127" s="299">
        <f t="shared" si="145"/>
        <v>32500</v>
      </c>
      <c r="K127" s="299">
        <f t="shared" si="145"/>
        <v>34750</v>
      </c>
      <c r="L127" s="299">
        <f t="shared" si="145"/>
        <v>37000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19600</v>
      </c>
      <c r="F128" s="301">
        <f t="shared" si="146"/>
        <v>22400</v>
      </c>
      <c r="G128" s="301">
        <f t="shared" si="146"/>
        <v>25200</v>
      </c>
      <c r="H128" s="301">
        <f t="shared" si="146"/>
        <v>28000</v>
      </c>
      <c r="I128" s="301">
        <f t="shared" si="146"/>
        <v>30250</v>
      </c>
      <c r="J128" s="301">
        <f t="shared" si="146"/>
        <v>32500</v>
      </c>
      <c r="K128" s="301">
        <f t="shared" si="146"/>
        <v>34750</v>
      </c>
      <c r="L128" s="301">
        <f t="shared" si="146"/>
        <v>37000</v>
      </c>
      <c r="M128" s="207"/>
      <c r="N128" s="218" t="str">
        <f>CONCATENATE(AU27,$B$11)</f>
        <v>5/30/2017 - 3/31/2018Anderson</v>
      </c>
      <c r="O128" s="207"/>
      <c r="P128" s="197">
        <f>VLOOKUP($N128,MTSP2017!A4:L257,E$110+4,FALSE)</f>
        <v>19600</v>
      </c>
      <c r="Q128" s="197">
        <f>VLOOKUP($N128,MTSP2017!A4:L257,F$110+4,FALSE)</f>
        <v>22400</v>
      </c>
      <c r="R128" s="197">
        <f>VLOOKUP($N128,MTSP2017!A4:L257,G$110+4,FALSE)</f>
        <v>25200</v>
      </c>
      <c r="S128" s="197">
        <f>VLOOKUP($N128,MTSP2017!A4:L257,H$110+4,FALSE)</f>
        <v>28000</v>
      </c>
      <c r="T128" s="197">
        <f>VLOOKUP($N128,MTSP2017!A4:L257,I$110+4,FALSE)</f>
        <v>30250</v>
      </c>
      <c r="U128" s="197">
        <f>VLOOKUP($N128,MTSP2017!A4:L257,J$110+4,FALSE)</f>
        <v>32500</v>
      </c>
      <c r="V128" s="197">
        <f>VLOOKUP($N128,MTSP2017!A4:L257,K$110+4,FALSE)</f>
        <v>34750</v>
      </c>
      <c r="W128" s="197">
        <f>VLOOKUP($N128,MTSP2017!A4:L257,L$110+4,FALSE)</f>
        <v>37000</v>
      </c>
      <c r="X128" s="207"/>
      <c r="Y128" s="197">
        <f>IF($B$18=$AU$10,VLOOKUP($N$128,MTSP2017!A4:AK257,E$110+21,FALSE),0)</f>
        <v>0</v>
      </c>
      <c r="Z128" s="197">
        <f>IF($B$18=$AU$10,VLOOKUP($N$128,MTSP2017!A4:AK257,F$110+21,FALSE),0)</f>
        <v>0</v>
      </c>
      <c r="AA128" s="197">
        <f>IF($B$18=$AU$10,VLOOKUP($N$128,MTSP2017!A4:AK257,G$110+21,FALSE),0)</f>
        <v>0</v>
      </c>
      <c r="AB128" s="197">
        <f>IF($B$18=$AU$10,VLOOKUP($N$128,MTSP2017!A4:AK257,H$110+21,FALSE),0)</f>
        <v>0</v>
      </c>
      <c r="AC128" s="197">
        <f>IF($B$18=$AU$10,VLOOKUP($N$128,MTSP2017!A4:AK257,I$110+21,FALSE),0)</f>
        <v>0</v>
      </c>
      <c r="AD128" s="197">
        <f>IF($B$18=$AU$10,VLOOKUP($N$128,MTSP2017!A4:AK257,J$110+21,FALSE),0)</f>
        <v>0</v>
      </c>
      <c r="AE128" s="197">
        <f>IF($B$18=$AU$10,VLOOKUP($N$128,MTSP2017!A4:AK257,K$110+21,FALSE),0)</f>
        <v>0</v>
      </c>
      <c r="AF128" s="197">
        <f>IF($B$18=$AU$10,VLOOKUP($N$128,MTSP2017!A4:AK257,L$110+21,FALSE),0)</f>
        <v>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20450</v>
      </c>
      <c r="F129" s="299">
        <f t="shared" si="145"/>
        <v>23350</v>
      </c>
      <c r="G129" s="299">
        <f t="shared" si="145"/>
        <v>26300</v>
      </c>
      <c r="H129" s="299">
        <f t="shared" si="145"/>
        <v>29200</v>
      </c>
      <c r="I129" s="299">
        <f t="shared" si="145"/>
        <v>31550</v>
      </c>
      <c r="J129" s="299">
        <f t="shared" si="145"/>
        <v>33850</v>
      </c>
      <c r="K129" s="299">
        <f t="shared" si="145"/>
        <v>36200</v>
      </c>
      <c r="L129" s="299">
        <f t="shared" si="145"/>
        <v>38550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20450</v>
      </c>
      <c r="F130" s="301">
        <f t="shared" si="147"/>
        <v>23350</v>
      </c>
      <c r="G130" s="301">
        <f t="shared" si="147"/>
        <v>26300</v>
      </c>
      <c r="H130" s="301">
        <f t="shared" si="147"/>
        <v>29200</v>
      </c>
      <c r="I130" s="301">
        <f t="shared" si="147"/>
        <v>31550</v>
      </c>
      <c r="J130" s="301">
        <f t="shared" si="147"/>
        <v>33850</v>
      </c>
      <c r="K130" s="301">
        <f t="shared" si="147"/>
        <v>36200</v>
      </c>
      <c r="L130" s="301">
        <f t="shared" si="147"/>
        <v>38550</v>
      </c>
      <c r="M130" s="207"/>
      <c r="N130" s="218" t="str">
        <f>CONCATENATE(AU29,$B$11)</f>
        <v>5/17/2018 - 4/23/2019Anderson</v>
      </c>
      <c r="O130" s="207"/>
      <c r="P130" s="197">
        <f>INDEX(MTSP2018!E3:E257,MATCH('Income-Rent Tool'!$N$130,MTSP2018!$A$3:$A$257,0))</f>
        <v>19800</v>
      </c>
      <c r="Q130" s="197">
        <f>INDEX(MTSP2018!F3:F257,MATCH('Income-Rent Tool'!$N$130,MTSP2018!$A$3:$A$257,0))</f>
        <v>22600</v>
      </c>
      <c r="R130" s="197">
        <f>INDEX(MTSP2018!G3:G257,MATCH('Income-Rent Tool'!$N$130,MTSP2018!$A$3:$A$257,0))</f>
        <v>25450</v>
      </c>
      <c r="S130" s="197">
        <f>INDEX(MTSP2018!H3:H257,MATCH('Income-Rent Tool'!$N$130,MTSP2018!$A$3:$A$257,0))</f>
        <v>28250</v>
      </c>
      <c r="T130" s="197">
        <f>INDEX(MTSP2018!I3:I257,MATCH('Income-Rent Tool'!$N$130,MTSP2018!$A$3:$A$257,0))</f>
        <v>30550</v>
      </c>
      <c r="U130" s="197">
        <f>INDEX(MTSP2018!J3:J257,MATCH('Income-Rent Tool'!$N$130,MTSP2018!$A$3:$A$257,0))</f>
        <v>32800</v>
      </c>
      <c r="V130" s="197">
        <f>INDEX(MTSP2018!K3:K257,MATCH('Income-Rent Tool'!$N$130,MTSP2018!$A$3:$A$257,0))</f>
        <v>35050</v>
      </c>
      <c r="W130" s="197">
        <f>INDEX(MTSP2018!L3:L257,MATCH('Income-Rent Tool'!$N$130,MTSP2018!$A$3:$A$257,0))</f>
        <v>37300</v>
      </c>
      <c r="X130" s="207"/>
      <c r="Y130" s="197">
        <f>IF($B$18=$AU$10,VLOOKUP($N$130,MTSP2018!$A$3:$AR$257,E$110+21,FALSE),0)</f>
        <v>0</v>
      </c>
      <c r="Z130" s="197">
        <f>IF($B$18=$AU$10,VLOOKUP($N$130,MTSP2018!$A$3:$AR$257,F$110+21,FALSE),0)</f>
        <v>0</v>
      </c>
      <c r="AA130" s="197">
        <f>IF($B$18=$AU$10,VLOOKUP($N$130,MTSP2018!$A$3:$AR$257,G$110+21,FALSE),0)</f>
        <v>0</v>
      </c>
      <c r="AB130" s="197">
        <f>IF($B$18=$AU$10,VLOOKUP($N$130,MTSP2018!$A$3:$AR$257,H$110+21,FALSE),0)</f>
        <v>0</v>
      </c>
      <c r="AC130" s="197">
        <f>IF($B$18=$AU$10,VLOOKUP($N$130,MTSP2018!$A$3:$AR$257,I$110+21,FALSE),0)</f>
        <v>0</v>
      </c>
      <c r="AD130" s="197">
        <f>IF($B$18=$AU$10,VLOOKUP($N$130,MTSP2018!$A$3:$AR$257,J$110+21,FALSE),0)</f>
        <v>0</v>
      </c>
      <c r="AE130" s="197">
        <f>IF($B$18=$AU$10,VLOOKUP($N$130,MTSP2018!$A$3:$AR$257,K$110+21,FALSE),0)</f>
        <v>0</v>
      </c>
      <c r="AF130" s="197">
        <f>IF($B$18=$AU$10,VLOOKUP($N$130,MTSP2018!$A$3:$AR$257,L$110+21,FALSE),0)</f>
        <v>0</v>
      </c>
      <c r="AG130" s="207"/>
      <c r="AH130" s="169" t="str">
        <f>IF(AND((IF(ISNA(VLOOKUP($B$13,$BD$10:$BD$1100,1,FALSE)),0,VLOOKUP($B$13,$BD$10:$BD$1100,1,FALSE)))=0,AL202&gt;S202,OR($B$16=$AS$11,$B$16=$AS$15)),"Yes","No")</f>
        <v>Yes</v>
      </c>
      <c r="AI130" s="256">
        <f>IF($AH130="No",0,20450)</f>
        <v>20450</v>
      </c>
      <c r="AJ130" s="256">
        <f>IF($AH130="No",0,23350)</f>
        <v>23350</v>
      </c>
      <c r="AK130" s="256">
        <f>IF($AH130="No",0,26300)</f>
        <v>26300</v>
      </c>
      <c r="AL130" s="256">
        <f>IF($AH130="No",0,29200)</f>
        <v>29200</v>
      </c>
      <c r="AM130" s="256">
        <f>IF($AH130="No",0,31550)</f>
        <v>31550</v>
      </c>
      <c r="AN130" s="256">
        <f>IF($AH130="No",0,33850)</f>
        <v>33850</v>
      </c>
      <c r="AO130" s="256">
        <f>IF($AH130="No",0,36200)</f>
        <v>36200</v>
      </c>
      <c r="AP130" s="256">
        <f>IF($AH130="No",0,38550)</f>
        <v>38550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21200</v>
      </c>
      <c r="F131" s="299">
        <f t="shared" ref="F131:L131" si="148">+MAX(F130,F132)</f>
        <v>24250</v>
      </c>
      <c r="G131" s="299">
        <f t="shared" si="148"/>
        <v>27250</v>
      </c>
      <c r="H131" s="299">
        <f t="shared" si="148"/>
        <v>30300</v>
      </c>
      <c r="I131" s="299">
        <f t="shared" si="148"/>
        <v>32700</v>
      </c>
      <c r="J131" s="299">
        <f t="shared" si="148"/>
        <v>35150</v>
      </c>
      <c r="K131" s="299">
        <f t="shared" si="148"/>
        <v>37550</v>
      </c>
      <c r="L131" s="299">
        <f t="shared" si="148"/>
        <v>40000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21200</v>
      </c>
      <c r="F132" s="301">
        <f t="shared" si="149"/>
        <v>24250</v>
      </c>
      <c r="G132" s="301">
        <f t="shared" si="149"/>
        <v>27250</v>
      </c>
      <c r="H132" s="301">
        <f t="shared" si="149"/>
        <v>30300</v>
      </c>
      <c r="I132" s="301">
        <f t="shared" si="149"/>
        <v>32700</v>
      </c>
      <c r="J132" s="301">
        <f t="shared" si="149"/>
        <v>35150</v>
      </c>
      <c r="K132" s="301">
        <f t="shared" si="149"/>
        <v>37550</v>
      </c>
      <c r="L132" s="301">
        <f t="shared" si="149"/>
        <v>40000</v>
      </c>
      <c r="M132" s="207"/>
      <c r="N132" s="255" t="str">
        <f>CONCATENATE(AU31,$B$11)</f>
        <v>On or After 6/9/2019Anderson</v>
      </c>
      <c r="O132" s="207"/>
      <c r="P132" s="197">
        <f>INDEX(MTSP2019!E3:E257,MATCH('Income-Rent Tool'!$N$132,MTSP2019!$A$3:$A$257,0))</f>
        <v>20550</v>
      </c>
      <c r="Q132" s="197">
        <f>INDEX(MTSP2019!F3:F257,MATCH('Income-Rent Tool'!$N$132,MTSP2019!$A$3:$A$257,0))</f>
        <v>23500</v>
      </c>
      <c r="R132" s="197">
        <f>INDEX(MTSP2019!G3:G257,MATCH('Income-Rent Tool'!$N$132,MTSP2019!$A$3:$A$257,0))</f>
        <v>26450</v>
      </c>
      <c r="S132" s="197">
        <f>INDEX(MTSP2019!H3:H257,MATCH('Income-Rent Tool'!$N$132,MTSP2019!$A$3:$A$257,0))</f>
        <v>29350</v>
      </c>
      <c r="T132" s="197">
        <f>INDEX(MTSP2019!I3:I257,MATCH('Income-Rent Tool'!$N$132,MTSP2019!$A$3:$A$257,0))</f>
        <v>31700</v>
      </c>
      <c r="U132" s="197">
        <f>INDEX(MTSP2019!J3:J257,MATCH('Income-Rent Tool'!$N$132,MTSP2019!$A$3:$A$257,0))</f>
        <v>34050</v>
      </c>
      <c r="V132" s="197">
        <f>INDEX(MTSP2019!K3:K257,MATCH('Income-Rent Tool'!$N$132,MTSP2019!$A$3:$A$257,0))</f>
        <v>36400</v>
      </c>
      <c r="W132" s="197">
        <f>INDEX(MTSP2019!L3:L257,MATCH('Income-Rent Tool'!$N$132,MTSP2019!$A$3:$A$257,0))</f>
        <v>38750</v>
      </c>
      <c r="X132" s="207"/>
      <c r="Y132" s="197">
        <f>IF($B$18=$AU$10,VLOOKUP($N$132,MTSP2019!$A$3:$AR$257,E$110+21,FALSE),0)</f>
        <v>0</v>
      </c>
      <c r="Z132" s="197">
        <f>IF($B$18=$AU$10,VLOOKUP($N$132,MTSP2019!$A$3:$AR$257,F$110+21,FALSE),0)</f>
        <v>0</v>
      </c>
      <c r="AA132" s="197">
        <f>IF($B$18=$AU$10,VLOOKUP($N$132,MTSP2019!$A$3:$AR$257,G$110+21,FALSE),0)</f>
        <v>0</v>
      </c>
      <c r="AB132" s="197">
        <f>IF($B$18=$AU$10,VLOOKUP($N$132,MTSP2019!$A$3:$AR$257,H$110+21,FALSE),0)</f>
        <v>0</v>
      </c>
      <c r="AC132" s="197">
        <f>IF($B$18=$AU$10,VLOOKUP($N$132,MTSP2019!$A$3:$AR$257,I$110+21,FALSE),0)</f>
        <v>0</v>
      </c>
      <c r="AD132" s="197">
        <f>IF($B$18=$AU$10,VLOOKUP($N$132,MTSP2019!$A$3:$AR$257,J$110+21,FALSE),0)</f>
        <v>0</v>
      </c>
      <c r="AE132" s="197">
        <f>IF($B$18=$AU$10,VLOOKUP($N$132,MTSP2019!$A$3:$AR$257,K$110+21,FALSE),0)</f>
        <v>0</v>
      </c>
      <c r="AF132" s="197">
        <f>IF($B$18=$AU$10,VLOOKUP($N$132,MTSP2019!$A$3:$AR$257,L$110+21,FALSE),0)</f>
        <v>0</v>
      </c>
      <c r="AG132" s="207"/>
      <c r="AH132" s="169" t="str">
        <f>IF(AND((IF(ISNA(VLOOKUP($B$13,$BF$11:$BF$1054,1,FALSE)),0,VLOOKUP($B$13,$BF$11:$BF$1054,1,FALSE)))=0,AL204&gt;S204,OR($B$16=$AS$11,$B$16=$AS$15)),"Yes","No")</f>
        <v>Yes</v>
      </c>
      <c r="AI132" s="256">
        <f>IF($AH132="No",0,21200)</f>
        <v>21200</v>
      </c>
      <c r="AJ132" s="256">
        <f>IF($AH132="No",0,24250)</f>
        <v>24250</v>
      </c>
      <c r="AK132" s="256">
        <f>IF($AH132="No",0,27250)</f>
        <v>27250</v>
      </c>
      <c r="AL132" s="256">
        <f>IF($AH132="No",0,30300)</f>
        <v>30300</v>
      </c>
      <c r="AM132" s="256">
        <f>IF($AH132="No",0,32700)</f>
        <v>32700</v>
      </c>
      <c r="AN132" s="256">
        <f>IF($AH132="No",0,35150)</f>
        <v>35150</v>
      </c>
      <c r="AO132" s="256">
        <f>IF($AH132="No",0,37550)</f>
        <v>37550</v>
      </c>
      <c r="AP132" s="256">
        <f>IF($AH132="No",0,40000)</f>
        <v>40000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20160</v>
      </c>
      <c r="F135" s="298">
        <f t="shared" si="152"/>
        <v>23040</v>
      </c>
      <c r="G135" s="298">
        <f t="shared" si="152"/>
        <v>25920</v>
      </c>
      <c r="H135" s="298">
        <f t="shared" si="152"/>
        <v>28800</v>
      </c>
      <c r="I135" s="298">
        <f t="shared" si="152"/>
        <v>31140</v>
      </c>
      <c r="J135" s="298">
        <f t="shared" si="152"/>
        <v>33420</v>
      </c>
      <c r="K135" s="298">
        <f t="shared" si="152"/>
        <v>35760</v>
      </c>
      <c r="L135" s="298">
        <f t="shared" si="152"/>
        <v>38040</v>
      </c>
      <c r="N135" s="91" t="str">
        <f>CONCATENATE($AU$10,$B$11,$N$134)</f>
        <v>Before 12-31-2008Anderson60</v>
      </c>
      <c r="P135" s="194">
        <f>VLOOKUP($N135,'pre 12-31-08'!$A$4:$L$1400,E$134+3,FALSE)</f>
        <v>20160</v>
      </c>
      <c r="Q135" s="194">
        <f>VLOOKUP($N135,'pre 12-31-08'!$A$4:$L$1400,F$134+3,FALSE)</f>
        <v>23040</v>
      </c>
      <c r="R135" s="194">
        <f>VLOOKUP($N135,'pre 12-31-08'!$A$4:$L$1400,G$134+3,FALSE)</f>
        <v>25920</v>
      </c>
      <c r="S135" s="194">
        <f>VLOOKUP($N135,'pre 12-31-08'!$A$4:$L$1400,H$134+3,FALSE)</f>
        <v>28800</v>
      </c>
      <c r="T135" s="194">
        <f>VLOOKUP($N135,'pre 12-31-08'!$A$4:$L$1400,I$134+3,FALSE)</f>
        <v>31140</v>
      </c>
      <c r="U135" s="194">
        <f>VLOOKUP($N135,'pre 12-31-08'!$A$4:$L$1400,J$134+3,FALSE)</f>
        <v>33420</v>
      </c>
      <c r="V135" s="194">
        <f>VLOOKUP($N135,'pre 12-31-08'!$A$4:$L$1400,K$134+3,FALSE)</f>
        <v>35760</v>
      </c>
      <c r="W135" s="194">
        <f>VLOOKUP($N135,'pre 12-31-08'!$A$4:$L$1400,L$134+3,FALSE)</f>
        <v>38040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21660</v>
      </c>
      <c r="F136" s="298">
        <f t="shared" si="152"/>
        <v>24780</v>
      </c>
      <c r="G136" s="298">
        <f t="shared" si="152"/>
        <v>27840</v>
      </c>
      <c r="H136" s="298">
        <f t="shared" si="152"/>
        <v>30960</v>
      </c>
      <c r="I136" s="298">
        <f t="shared" si="152"/>
        <v>33420</v>
      </c>
      <c r="J136" s="298">
        <f t="shared" si="152"/>
        <v>35940</v>
      </c>
      <c r="K136" s="298">
        <f t="shared" si="152"/>
        <v>38400</v>
      </c>
      <c r="L136" s="298">
        <f t="shared" si="152"/>
        <v>40860</v>
      </c>
      <c r="N136" s="91" t="str">
        <f>CONCATENATE($AU$11,$B$11,$N$134)</f>
        <v>1/1/2009 - 5/13/2010Anderson60</v>
      </c>
      <c r="P136" s="194">
        <f>VLOOKUP($N136,'1-1-09-5-14-10'!$A$4:$L$1400,E$134+3,FALSE)</f>
        <v>20160</v>
      </c>
      <c r="Q136" s="194">
        <f>VLOOKUP($N136,'1-1-09-5-14-10'!$A$4:$L$1400,F$134+3,FALSE)</f>
        <v>23040</v>
      </c>
      <c r="R136" s="194">
        <f>VLOOKUP($N136,'1-1-09-5-14-10'!$A$4:$L$1400,G$134+3,FALSE)</f>
        <v>25920</v>
      </c>
      <c r="S136" s="194">
        <f>VLOOKUP($N136,'1-1-09-5-14-10'!$A$4:$L$1400,H$134+3,FALSE)</f>
        <v>28800</v>
      </c>
      <c r="T136" s="194">
        <f>VLOOKUP($N136,'1-1-09-5-14-10'!$A$4:$L$1400,I$134+3,FALSE)</f>
        <v>31140</v>
      </c>
      <c r="U136" s="194">
        <f>VLOOKUP($N136,'1-1-09-5-14-10'!$A$4:$L$1400,J$134+3,FALSE)</f>
        <v>33420</v>
      </c>
      <c r="V136" s="194">
        <f>VLOOKUP($N136,'1-1-09-5-14-10'!$A$4:$L$1400,K$134+3,FALSE)</f>
        <v>35760</v>
      </c>
      <c r="W136" s="194">
        <f>VLOOKUP($N136,'1-1-09-5-14-10'!$A$4:$L$1400,L$134+3,FALSE)</f>
        <v>38040</v>
      </c>
      <c r="Y136" s="38"/>
      <c r="Z136" s="30"/>
      <c r="AA136" s="30"/>
      <c r="AB136" s="30"/>
      <c r="AC136" s="30"/>
      <c r="AD136" s="30"/>
      <c r="AE136" s="30"/>
      <c r="AF136" s="39"/>
      <c r="AI136" s="194">
        <f t="shared" ref="AI136:AP136" si="154">+AI112/5*6</f>
        <v>21660</v>
      </c>
      <c r="AJ136" s="194">
        <f t="shared" si="154"/>
        <v>24780</v>
      </c>
      <c r="AK136" s="194">
        <f t="shared" si="154"/>
        <v>27840</v>
      </c>
      <c r="AL136" s="194">
        <f t="shared" si="154"/>
        <v>30960</v>
      </c>
      <c r="AM136" s="194">
        <f t="shared" si="154"/>
        <v>33420</v>
      </c>
      <c r="AN136" s="194">
        <f t="shared" si="154"/>
        <v>35940</v>
      </c>
      <c r="AO136" s="194">
        <f t="shared" si="154"/>
        <v>38400</v>
      </c>
      <c r="AP136" s="194">
        <f t="shared" si="154"/>
        <v>40860</v>
      </c>
      <c r="AQ136" s="122"/>
      <c r="AT136" s="9" t="s">
        <v>18</v>
      </c>
      <c r="AW136" s="292"/>
      <c r="AX136" s="292"/>
      <c r="AY136" s="287" t="s">
        <v>1183</v>
      </c>
      <c r="AZ136" s="217" t="s">
        <v>1143</v>
      </c>
      <c r="BA136" s="285" t="s">
        <v>1150</v>
      </c>
      <c r="BB136" s="285" t="s">
        <v>1203</v>
      </c>
      <c r="BC136" s="285" t="s">
        <v>1203</v>
      </c>
      <c r="BD136" s="291" t="s">
        <v>2448</v>
      </c>
      <c r="BE136" s="291" t="s">
        <v>2446</v>
      </c>
      <c r="BF136" s="285" t="s">
        <v>3014</v>
      </c>
      <c r="BG136" s="6" t="e">
        <f t="shared" si="143"/>
        <v>#N/A</v>
      </c>
    </row>
    <row r="137" spans="1:59" ht="15" hidden="1" customHeight="1">
      <c r="A137" s="89">
        <f t="shared" si="150"/>
        <v>0</v>
      </c>
      <c r="B137" s="89">
        <f t="shared" si="153"/>
        <v>1</v>
      </c>
      <c r="C137" s="89">
        <f t="shared" si="151"/>
        <v>1</v>
      </c>
      <c r="E137" s="299">
        <f t="shared" ref="E137:L137" si="155">+MAX(E136,E138)</f>
        <v>21660</v>
      </c>
      <c r="F137" s="299">
        <f t="shared" si="155"/>
        <v>24780</v>
      </c>
      <c r="G137" s="299">
        <f t="shared" si="155"/>
        <v>27840</v>
      </c>
      <c r="H137" s="299">
        <f t="shared" si="155"/>
        <v>30960</v>
      </c>
      <c r="I137" s="299">
        <f t="shared" si="155"/>
        <v>33420</v>
      </c>
      <c r="J137" s="299">
        <f t="shared" si="155"/>
        <v>35940</v>
      </c>
      <c r="K137" s="299">
        <f t="shared" si="155"/>
        <v>38400</v>
      </c>
      <c r="L137" s="299">
        <f t="shared" si="155"/>
        <v>40860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21660</v>
      </c>
      <c r="F138" s="298">
        <f t="shared" si="156"/>
        <v>24780</v>
      </c>
      <c r="G138" s="298">
        <f t="shared" si="156"/>
        <v>27840</v>
      </c>
      <c r="H138" s="298">
        <f t="shared" si="156"/>
        <v>30960</v>
      </c>
      <c r="I138" s="298">
        <f t="shared" si="156"/>
        <v>33420</v>
      </c>
      <c r="J138" s="298">
        <f t="shared" si="156"/>
        <v>35940</v>
      </c>
      <c r="K138" s="298">
        <f t="shared" si="156"/>
        <v>38400</v>
      </c>
      <c r="L138" s="298">
        <f t="shared" si="156"/>
        <v>40860</v>
      </c>
      <c r="N138" s="91" t="str">
        <f>CONCATENATE($AU$13,$B$11,$N$134)</f>
        <v>6/29/2010 - 5/30/2011Anderson60</v>
      </c>
      <c r="P138" s="194">
        <f>VLOOKUP($N138,'5-14-10-5-31-11'!$A$4:$L$1400,E$134+3,FALSE)</f>
        <v>20160</v>
      </c>
      <c r="Q138" s="194">
        <f>VLOOKUP($N138,'5-14-10-5-31-11'!$A$4:$L$1400,F$134+3,FALSE)</f>
        <v>23040</v>
      </c>
      <c r="R138" s="194">
        <f>VLOOKUP($N138,'5-14-10-5-31-11'!$A$4:$L$1400,G$134+3,FALSE)</f>
        <v>25920</v>
      </c>
      <c r="S138" s="194">
        <f>VLOOKUP($N138,'5-14-10-5-31-11'!$A$4:$L$1400,H$134+3,FALSE)</f>
        <v>28800</v>
      </c>
      <c r="T138" s="194">
        <f>VLOOKUP($N138,'5-14-10-5-31-11'!$A$4:$L$1400,I$134+3,FALSE)</f>
        <v>31140</v>
      </c>
      <c r="U138" s="194">
        <f>VLOOKUP($N138,'5-14-10-5-31-11'!$A$4:$L$1400,J$134+3,FALSE)</f>
        <v>33420</v>
      </c>
      <c r="V138" s="194">
        <f>VLOOKUP($N138,'5-14-10-5-31-11'!$A$4:$L$1400,K$134+3,FALSE)</f>
        <v>35760</v>
      </c>
      <c r="W138" s="194">
        <f>VLOOKUP($N138,'5-14-10-5-31-11'!$A$4:$L$1400,L$134+3,FALSE)</f>
        <v>38040</v>
      </c>
      <c r="Y138" s="38"/>
      <c r="Z138" s="30"/>
      <c r="AA138" s="30"/>
      <c r="AB138" s="30"/>
      <c r="AC138" s="30"/>
      <c r="AD138" s="30"/>
      <c r="AE138" s="30"/>
      <c r="AF138" s="39"/>
      <c r="AI138" s="194">
        <f t="shared" ref="AI138:AP138" si="157">+AI114/5*6</f>
        <v>21660</v>
      </c>
      <c r="AJ138" s="194">
        <f t="shared" si="157"/>
        <v>24780</v>
      </c>
      <c r="AK138" s="194">
        <f t="shared" si="157"/>
        <v>27840</v>
      </c>
      <c r="AL138" s="194">
        <f t="shared" si="157"/>
        <v>30960</v>
      </c>
      <c r="AM138" s="194">
        <f t="shared" si="157"/>
        <v>33420</v>
      </c>
      <c r="AN138" s="194">
        <f t="shared" si="157"/>
        <v>35940</v>
      </c>
      <c r="AO138" s="194">
        <f t="shared" si="157"/>
        <v>38400</v>
      </c>
      <c r="AP138" s="194">
        <f t="shared" si="157"/>
        <v>40860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21900</v>
      </c>
      <c r="F139" s="299">
        <f t="shared" si="158"/>
        <v>25020</v>
      </c>
      <c r="G139" s="299">
        <f t="shared" si="158"/>
        <v>28140</v>
      </c>
      <c r="H139" s="299">
        <f t="shared" si="158"/>
        <v>31260</v>
      </c>
      <c r="I139" s="299">
        <f t="shared" si="158"/>
        <v>33780</v>
      </c>
      <c r="J139" s="299">
        <f t="shared" si="158"/>
        <v>36300</v>
      </c>
      <c r="K139" s="299">
        <f t="shared" si="158"/>
        <v>38820</v>
      </c>
      <c r="L139" s="299">
        <f t="shared" si="158"/>
        <v>41280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21900</v>
      </c>
      <c r="F140" s="298">
        <f t="shared" si="159"/>
        <v>25020</v>
      </c>
      <c r="G140" s="298">
        <f t="shared" si="159"/>
        <v>28140</v>
      </c>
      <c r="H140" s="298">
        <f t="shared" si="159"/>
        <v>31260</v>
      </c>
      <c r="I140" s="298">
        <f t="shared" si="159"/>
        <v>33780</v>
      </c>
      <c r="J140" s="298">
        <f t="shared" si="159"/>
        <v>36300</v>
      </c>
      <c r="K140" s="298">
        <f t="shared" si="159"/>
        <v>38820</v>
      </c>
      <c r="L140" s="298">
        <f t="shared" si="159"/>
        <v>41280</v>
      </c>
      <c r="M140" s="6"/>
      <c r="N140" s="91" t="str">
        <f>CONCATENATE(AU15,$B$11)</f>
        <v>7/16/2011 - 11/31/2011Anderson</v>
      </c>
      <c r="O140" s="6"/>
      <c r="P140" s="194">
        <f>VLOOKUP($N140,'6-1-11'!$A$4:$T$257,E$134+12,FALSE)</f>
        <v>21180</v>
      </c>
      <c r="Q140" s="194">
        <f>VLOOKUP($N140,'6-1-11'!$A$4:$T$257,F$134+12,FALSE)</f>
        <v>24240</v>
      </c>
      <c r="R140" s="194">
        <f>VLOOKUP($N140,'6-1-11'!$A$4:$T$257,G$134+12,FALSE)</f>
        <v>27240</v>
      </c>
      <c r="S140" s="194">
        <f>VLOOKUP($N140,'6-1-11'!$A$4:$T$257,H$134+12,FALSE)</f>
        <v>30240</v>
      </c>
      <c r="T140" s="194">
        <f>VLOOKUP($N140,'6-1-11'!$A$4:$T$257,I$134+12,FALSE)</f>
        <v>32700</v>
      </c>
      <c r="U140" s="194">
        <f>VLOOKUP($N140,'6-1-11'!$A$4:$T$257,J$134+12,FALSE)</f>
        <v>35100</v>
      </c>
      <c r="V140" s="194">
        <f>VLOOKUP($N140,'6-1-11'!$A$4:$T$257,K$134+12,FALSE)</f>
        <v>37500</v>
      </c>
      <c r="W140" s="194">
        <f>VLOOKUP($N140,'6-1-11'!$A$4:$T$257,L$134+12,FALSE)</f>
        <v>39960</v>
      </c>
      <c r="X140" s="6"/>
      <c r="Y140" s="194">
        <f>IF($B$18=$AU$10,VLOOKUP($N140,'6-1-11'!$A$4:$AK$257,E$134+29,FALSE),0)</f>
        <v>21900</v>
      </c>
      <c r="Z140" s="194">
        <f>IF($B$18=$AU$10,VLOOKUP($N140,'6-1-11'!$A$4:$AK$257,F$134+29,FALSE),0)</f>
        <v>25020</v>
      </c>
      <c r="AA140" s="194">
        <f>IF($B$18=$AU$10,VLOOKUP($N140,'6-1-11'!$A$4:$AK$257,G$134+29,FALSE),0)</f>
        <v>28140</v>
      </c>
      <c r="AB140" s="194">
        <f>IF($B$18=$AU$10,VLOOKUP($N140,'6-1-11'!$A$4:$AK$257,H$134+29,FALSE),0)</f>
        <v>31260</v>
      </c>
      <c r="AC140" s="194">
        <f>IF($B$18=$AU$10,VLOOKUP($N140,'6-1-11'!$A$4:$AK$257,I$134+29,FALSE),0)</f>
        <v>33780</v>
      </c>
      <c r="AD140" s="194">
        <f>IF($B$18=$AU$10,VLOOKUP($N140,'6-1-11'!$A$4:$AK$257,J$134+29,FALSE),0)</f>
        <v>36300</v>
      </c>
      <c r="AE140" s="194">
        <f>IF($B$18=$AU$10,VLOOKUP($N140,'6-1-11'!$A$4:$AK$257,K$134+29,FALSE),0)</f>
        <v>38820</v>
      </c>
      <c r="AF140" s="194">
        <f>IF($B$18=$AU$10,VLOOKUP($N140,'6-1-11'!$A$4:$AK$257,L$134+29,FALSE),0)</f>
        <v>41280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22200</v>
      </c>
      <c r="F141" s="299">
        <f t="shared" si="161"/>
        <v>25380</v>
      </c>
      <c r="G141" s="299">
        <f t="shared" si="161"/>
        <v>28560</v>
      </c>
      <c r="H141" s="299">
        <f t="shared" si="161"/>
        <v>31680</v>
      </c>
      <c r="I141" s="299">
        <f t="shared" si="161"/>
        <v>34260</v>
      </c>
      <c r="J141" s="299">
        <f t="shared" si="161"/>
        <v>36780</v>
      </c>
      <c r="K141" s="299">
        <f t="shared" si="161"/>
        <v>39300</v>
      </c>
      <c r="L141" s="299">
        <f t="shared" si="161"/>
        <v>41820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22200</v>
      </c>
      <c r="F142" s="298">
        <f t="shared" si="162"/>
        <v>25380</v>
      </c>
      <c r="G142" s="298">
        <f t="shared" si="162"/>
        <v>28560</v>
      </c>
      <c r="H142" s="298">
        <f t="shared" si="162"/>
        <v>31680</v>
      </c>
      <c r="I142" s="298">
        <f t="shared" si="162"/>
        <v>34260</v>
      </c>
      <c r="J142" s="298">
        <f t="shared" si="162"/>
        <v>36780</v>
      </c>
      <c r="K142" s="298">
        <f t="shared" si="162"/>
        <v>39300</v>
      </c>
      <c r="L142" s="298">
        <f t="shared" si="162"/>
        <v>41820</v>
      </c>
      <c r="M142" s="6"/>
      <c r="N142" s="91" t="str">
        <f>CONCATENATE(AU17,$B$11)</f>
        <v>1/16/2012 - 12/3/2012Anderson</v>
      </c>
      <c r="O142" s="6"/>
      <c r="P142" s="194">
        <f>VLOOKUP($N142,'12-1-11'!$A$4:$T$257,E$134+12,FALSE)</f>
        <v>22200</v>
      </c>
      <c r="Q142" s="194">
        <f>VLOOKUP($N142,'12-1-11'!$A$4:$T$257,F$134+12,FALSE)</f>
        <v>25380</v>
      </c>
      <c r="R142" s="194">
        <f>VLOOKUP($N142,'12-1-11'!$A$4:$T$257,G$134+12,FALSE)</f>
        <v>28560</v>
      </c>
      <c r="S142" s="194">
        <f>VLOOKUP($N142,'12-1-11'!$A$4:$T$257,H$134+12,FALSE)</f>
        <v>31680</v>
      </c>
      <c r="T142" s="194">
        <f>VLOOKUP($N142,'12-1-11'!$A$4:$T$257,I$134+12,FALSE)</f>
        <v>34260</v>
      </c>
      <c r="U142" s="194">
        <f>VLOOKUP($N142,'12-1-11'!$A$4:$T$257,J$134+12,FALSE)</f>
        <v>36780</v>
      </c>
      <c r="V142" s="194">
        <f>VLOOKUP($N142,'12-1-11'!$A$4:$T$257,K$134+12,FALSE)</f>
        <v>39300</v>
      </c>
      <c r="W142" s="194">
        <f>VLOOKUP($N142,'12-1-11'!$A$4:$T$257,L$134+12,FALSE)</f>
        <v>41820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23340</v>
      </c>
      <c r="F143" s="299">
        <f t="shared" si="164"/>
        <v>26640</v>
      </c>
      <c r="G143" s="299">
        <f t="shared" si="164"/>
        <v>30000</v>
      </c>
      <c r="H143" s="299">
        <f t="shared" si="164"/>
        <v>33300</v>
      </c>
      <c r="I143" s="299">
        <f t="shared" si="164"/>
        <v>36000</v>
      </c>
      <c r="J143" s="299">
        <f t="shared" si="164"/>
        <v>38640</v>
      </c>
      <c r="K143" s="299">
        <f t="shared" si="164"/>
        <v>41340</v>
      </c>
      <c r="L143" s="299">
        <f t="shared" si="164"/>
        <v>43980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23340</v>
      </c>
      <c r="F144" s="298">
        <f t="shared" si="166"/>
        <v>26640</v>
      </c>
      <c r="G144" s="298">
        <f t="shared" si="166"/>
        <v>30000</v>
      </c>
      <c r="H144" s="298">
        <f t="shared" si="166"/>
        <v>33300</v>
      </c>
      <c r="I144" s="298">
        <f t="shared" si="166"/>
        <v>36000</v>
      </c>
      <c r="J144" s="298">
        <f t="shared" si="166"/>
        <v>38640</v>
      </c>
      <c r="K144" s="298">
        <f t="shared" si="166"/>
        <v>41340</v>
      </c>
      <c r="L144" s="298">
        <f t="shared" si="166"/>
        <v>43980</v>
      </c>
      <c r="N144" s="91" t="str">
        <f>CONCATENATE(AU19,$B$11)</f>
        <v>1/18/2013 - 12/17/2013Anderson</v>
      </c>
      <c r="P144" s="194">
        <f>VLOOKUP($N144,'2013 placeholder'!$A$4:$T$257,E$134+12,FALSE)</f>
        <v>23280</v>
      </c>
      <c r="Q144" s="194">
        <f>VLOOKUP($N144,'2013 placeholder'!$A$4:$T$257,F$134+12,FALSE)</f>
        <v>26640</v>
      </c>
      <c r="R144" s="194">
        <f>VLOOKUP($N144,'2013 placeholder'!$A$4:$T$257,G$134+12,FALSE)</f>
        <v>29940</v>
      </c>
      <c r="S144" s="194">
        <f>VLOOKUP($N144,'2013 placeholder'!$A$4:$T$257,H$134+12,FALSE)</f>
        <v>33240</v>
      </c>
      <c r="T144" s="194">
        <f>VLOOKUP($N144,'2013 placeholder'!$A$4:$T$257,I$134+12,FALSE)</f>
        <v>35940</v>
      </c>
      <c r="U144" s="194">
        <f>VLOOKUP($N144,'2013 placeholder'!$A$4:$T$257,J$134+12,FALSE)</f>
        <v>38580</v>
      </c>
      <c r="V144" s="194">
        <f>VLOOKUP($N144,'2013 placeholder'!$A$4:$T$257,K$134+12,FALSE)</f>
        <v>41220</v>
      </c>
      <c r="W144" s="194">
        <f>VLOOKUP($N144,'2013 placeholder'!$A$4:$T$257,L$134+12,FALSE)</f>
        <v>43920</v>
      </c>
      <c r="Y144" s="194">
        <f>IF($B$18=$AU$10,VLOOKUP($N144,'2013 placeholder'!$A$4:$AK$257,E$134+29,FALSE),0)</f>
        <v>23340</v>
      </c>
      <c r="Z144" s="194">
        <f>IF($B$18=$AU$10,VLOOKUP($N144,'2013 placeholder'!$A$4:$AK$257,F$134+29,FALSE),0)</f>
        <v>26640</v>
      </c>
      <c r="AA144" s="194">
        <f>IF($B$18=$AU$10,VLOOKUP($N144,'2013 placeholder'!$A$4:$AK$257,G$134+29,FALSE),0)</f>
        <v>30000</v>
      </c>
      <c r="AB144" s="194">
        <f>IF($B$18=$AU$10,VLOOKUP($N144,'2013 placeholder'!$A$4:$AK$257,H$134+29,FALSE),0)</f>
        <v>33300</v>
      </c>
      <c r="AC144" s="194">
        <f>IF($B$18=$AU$10,VLOOKUP($N144,'2013 placeholder'!$A$4:$AK$257,I$134+29,FALSE),0)</f>
        <v>36000</v>
      </c>
      <c r="AD144" s="194">
        <f>IF($B$18=$AU$10,VLOOKUP($N144,'2013 placeholder'!$A$4:$AK$257,J$134+29,FALSE),0)</f>
        <v>38640</v>
      </c>
      <c r="AE144" s="194">
        <f>IF($B$18=$AU$10,VLOOKUP($N144,'2013 placeholder'!$A$4:$AK$257,K$134+29,FALSE),0)</f>
        <v>41340</v>
      </c>
      <c r="AF144" s="194">
        <f>IF($B$18=$AU$10,VLOOKUP($N144,'2013 placeholder'!$A$4:$AK$257,L$134+29,FALSE),0)</f>
        <v>43980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23340</v>
      </c>
      <c r="F145" s="299">
        <f t="shared" si="168"/>
        <v>26640</v>
      </c>
      <c r="G145" s="299">
        <f t="shared" si="168"/>
        <v>30000</v>
      </c>
      <c r="H145" s="299">
        <f t="shared" si="168"/>
        <v>33300</v>
      </c>
      <c r="I145" s="299">
        <f t="shared" si="168"/>
        <v>36000</v>
      </c>
      <c r="J145" s="299">
        <f t="shared" si="168"/>
        <v>38640</v>
      </c>
      <c r="K145" s="299">
        <f t="shared" si="168"/>
        <v>41340</v>
      </c>
      <c r="L145" s="299">
        <f t="shared" si="168"/>
        <v>43980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23340</v>
      </c>
      <c r="F146" s="298">
        <f t="shared" si="169"/>
        <v>26640</v>
      </c>
      <c r="G146" s="298">
        <f t="shared" si="169"/>
        <v>30000</v>
      </c>
      <c r="H146" s="298">
        <f t="shared" si="169"/>
        <v>33300</v>
      </c>
      <c r="I146" s="298">
        <f t="shared" si="169"/>
        <v>36000</v>
      </c>
      <c r="J146" s="298">
        <f t="shared" si="169"/>
        <v>38640</v>
      </c>
      <c r="K146" s="298">
        <f t="shared" si="169"/>
        <v>41340</v>
      </c>
      <c r="L146" s="298">
        <f t="shared" si="169"/>
        <v>43980</v>
      </c>
      <c r="N146" s="95" t="str">
        <f>CONCATENATE(AU21,$B$11)</f>
        <v>2/1/2014 - 3/5/2015Anderson</v>
      </c>
      <c r="P146" s="197">
        <f>VLOOKUP($N146,'2014 placeholder'!$A$4:$T$257,E$134+12,FALSE)</f>
        <v>22800</v>
      </c>
      <c r="Q146" s="197">
        <f>VLOOKUP($N146,'2014 placeholder'!$A$4:$T$257,F$134+12,FALSE)</f>
        <v>26040</v>
      </c>
      <c r="R146" s="197">
        <f>VLOOKUP($N146,'2014 placeholder'!$A$4:$T$257,G$134+12,FALSE)</f>
        <v>29280</v>
      </c>
      <c r="S146" s="197">
        <f>VLOOKUP($N146,'2014 placeholder'!$A$4:$T$257,H$134+12,FALSE)</f>
        <v>32520</v>
      </c>
      <c r="T146" s="197">
        <f>VLOOKUP($N146,'2014 placeholder'!$A$4:$T$257,I$134+12,FALSE)</f>
        <v>35160</v>
      </c>
      <c r="U146" s="197">
        <f>VLOOKUP($N146,'2014 placeholder'!$A$4:$T$257,J$134+12,FALSE)</f>
        <v>37740</v>
      </c>
      <c r="V146" s="197">
        <f>VLOOKUP($N146,'2014 placeholder'!$A$4:$T$257,K$134+12,FALSE)</f>
        <v>40380</v>
      </c>
      <c r="W146" s="197">
        <f>VLOOKUP($N146,'2014 placeholder'!$A$4:$T$257,L$134+12,FALSE)</f>
        <v>42960</v>
      </c>
      <c r="Y146" s="197">
        <f>IF($B$18=$AU$10,VLOOKUP($N146,'2014 placeholder'!$A$4:$AK$257,E$134+29,FALSE),0)</f>
        <v>23340</v>
      </c>
      <c r="Z146" s="197">
        <f>IF($B$18=$AU$10,VLOOKUP($N146,'2014 placeholder'!$A$4:$AK$257,F$134+29,FALSE),0)</f>
        <v>26640</v>
      </c>
      <c r="AA146" s="197">
        <f>IF($B$18=$AU$10,VLOOKUP($N146,'2014 placeholder'!$A$4:$AK$257,G$134+29,FALSE),0)</f>
        <v>30000</v>
      </c>
      <c r="AB146" s="197">
        <f>IF($B$18=$AU$10,VLOOKUP($N146,'2014 placeholder'!$A$4:$AK$257,H$134+29,FALSE),0)</f>
        <v>33300</v>
      </c>
      <c r="AC146" s="197">
        <f>IF($B$18=$AU$10,VLOOKUP($N146,'2014 placeholder'!$A$4:$AK$257,I$134+29,FALSE),0)</f>
        <v>36000</v>
      </c>
      <c r="AD146" s="197">
        <f>IF($B$18=$AU$10,VLOOKUP($N146,'2014 placeholder'!$A$4:$AK$257,J$134+29,FALSE),0)</f>
        <v>38640</v>
      </c>
      <c r="AE146" s="197">
        <f>IF($B$18=$AU$10,VLOOKUP($N146,'2014 placeholder'!$A$4:$AK$257,K$134+29,FALSE),0)</f>
        <v>41340</v>
      </c>
      <c r="AF146" s="197">
        <f>IF($B$18=$AU$10,VLOOKUP($N146,'2014 placeholder'!$A$4:$AK$257,L$134+29,FALSE),0)</f>
        <v>43980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23340</v>
      </c>
      <c r="F147" s="299">
        <f t="shared" ref="F147:L147" si="171">+MAX(F146,F148)</f>
        <v>26640</v>
      </c>
      <c r="G147" s="299">
        <f t="shared" si="171"/>
        <v>30000</v>
      </c>
      <c r="H147" s="299">
        <f t="shared" si="171"/>
        <v>33300</v>
      </c>
      <c r="I147" s="299">
        <f t="shared" si="171"/>
        <v>36000</v>
      </c>
      <c r="J147" s="299">
        <f t="shared" si="171"/>
        <v>38640</v>
      </c>
      <c r="K147" s="299">
        <f t="shared" si="171"/>
        <v>41340</v>
      </c>
      <c r="L147" s="299">
        <f t="shared" si="171"/>
        <v>43980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23340</v>
      </c>
      <c r="F148" s="300">
        <f t="shared" si="172"/>
        <v>26640</v>
      </c>
      <c r="G148" s="300">
        <f t="shared" si="172"/>
        <v>30000</v>
      </c>
      <c r="H148" s="300">
        <f t="shared" si="172"/>
        <v>33300</v>
      </c>
      <c r="I148" s="300">
        <f t="shared" si="172"/>
        <v>36000</v>
      </c>
      <c r="J148" s="300">
        <f t="shared" si="172"/>
        <v>38640</v>
      </c>
      <c r="K148" s="300">
        <f t="shared" si="172"/>
        <v>41340</v>
      </c>
      <c r="L148" s="300">
        <f t="shared" si="172"/>
        <v>43980</v>
      </c>
      <c r="N148" s="95" t="str">
        <f>CONCATENATE(AU23,$B$11)</f>
        <v>4/21/2015 - 3/27/2016Anderson</v>
      </c>
      <c r="P148" s="197">
        <f>VLOOKUP($N148,'2015 MTSP Limits'!$A$4:$T$257,E$134+12,FALSE)</f>
        <v>23100</v>
      </c>
      <c r="Q148" s="197">
        <f>VLOOKUP($N148,'2015 MTSP Limits'!$A$4:$T$257,F$134+12,FALSE)</f>
        <v>26400</v>
      </c>
      <c r="R148" s="197">
        <f>VLOOKUP($N148,'2015 MTSP Limits'!$A$4:$T$257,G$134+12,FALSE)</f>
        <v>29700</v>
      </c>
      <c r="S148" s="197">
        <f>VLOOKUP($N148,'2015 MTSP Limits'!$A$4:$T$257,H$134+12,FALSE)</f>
        <v>33000</v>
      </c>
      <c r="T148" s="197">
        <f>VLOOKUP($N148,'2015 MTSP Limits'!$A$4:$T$257,I$134+12,FALSE)</f>
        <v>35640</v>
      </c>
      <c r="U148" s="197">
        <f>VLOOKUP($N148,'2015 MTSP Limits'!$A$4:$T$257,J$134+12,FALSE)</f>
        <v>38280</v>
      </c>
      <c r="V148" s="197">
        <f>VLOOKUP($N148,'2015 MTSP Limits'!$A$4:$T$257,K$134+12,FALSE)</f>
        <v>40920</v>
      </c>
      <c r="W148" s="197">
        <f>VLOOKUP($N148,'2015 MTSP Limits'!$A$4:$T$257,L$134+12,FALSE)</f>
        <v>43560</v>
      </c>
      <c r="Y148" s="197">
        <f>IF($B$18=$AU$10,VLOOKUP($N148,'2015 MTSP Limits'!$A$4:$AK$257,E$110+29,FALSE),0)</f>
        <v>23340</v>
      </c>
      <c r="Z148" s="197">
        <f>IF($B$18=$AU$10,VLOOKUP($N148,'2015 MTSP Limits'!$A$4:$AK$257,F$110+29,FALSE),0)</f>
        <v>26640</v>
      </c>
      <c r="AA148" s="197">
        <f>IF($B$18=$AU$10,VLOOKUP($N148,'2015 MTSP Limits'!$A$4:$AK$257,G$110+29,FALSE),0)</f>
        <v>30000</v>
      </c>
      <c r="AB148" s="197">
        <f>IF($B$18=$AU$10,VLOOKUP($N148,'2015 MTSP Limits'!$A$4:$AK$257,H$110+29,FALSE),0)</f>
        <v>33300</v>
      </c>
      <c r="AC148" s="197">
        <f>IF($B$18=$AU$10,VLOOKUP($N148,'2015 MTSP Limits'!$A$4:$AK$257,I$110+29,FALSE),0)</f>
        <v>36000</v>
      </c>
      <c r="AD148" s="197">
        <f>IF($B$18=$AU$10,VLOOKUP($N148,'2015 MTSP Limits'!$A$4:$AK$257,J$110+29,FALSE),0)</f>
        <v>38640</v>
      </c>
      <c r="AE148" s="197">
        <f>IF($B$18=$AU$10,VLOOKUP($N148,'2015 MTSP Limits'!$A$4:$AK$257,K$110+29,FALSE),0)</f>
        <v>41340</v>
      </c>
      <c r="AF148" s="197">
        <f>IF($B$18=$AU$10,VLOOKUP($N148,'2015 MTSP Limits'!$A$4:$AK$257,L$110+29,FALSE),0)</f>
        <v>43980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23340</v>
      </c>
      <c r="F149" s="299">
        <f t="shared" ref="F149:L149" si="174">+MAX(F148,F150)</f>
        <v>26640</v>
      </c>
      <c r="G149" s="299">
        <f t="shared" si="174"/>
        <v>30000</v>
      </c>
      <c r="H149" s="299">
        <f t="shared" si="174"/>
        <v>33300</v>
      </c>
      <c r="I149" s="299">
        <f t="shared" si="174"/>
        <v>36000</v>
      </c>
      <c r="J149" s="299">
        <f t="shared" si="174"/>
        <v>38640</v>
      </c>
      <c r="K149" s="299">
        <f t="shared" si="174"/>
        <v>41340</v>
      </c>
      <c r="L149" s="299">
        <f t="shared" si="174"/>
        <v>43980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23340</v>
      </c>
      <c r="F150" s="300">
        <f t="shared" si="175"/>
        <v>26640</v>
      </c>
      <c r="G150" s="300">
        <f t="shared" si="175"/>
        <v>30000</v>
      </c>
      <c r="H150" s="300">
        <f t="shared" si="175"/>
        <v>33300</v>
      </c>
      <c r="I150" s="300">
        <f t="shared" si="175"/>
        <v>36000</v>
      </c>
      <c r="J150" s="300">
        <f t="shared" si="175"/>
        <v>38640</v>
      </c>
      <c r="K150" s="300">
        <f t="shared" si="175"/>
        <v>41340</v>
      </c>
      <c r="L150" s="300">
        <f t="shared" si="175"/>
        <v>43980</v>
      </c>
      <c r="N150" s="95" t="str">
        <f>CONCATENATE(AU25,$B$11)</f>
        <v>5/13/2016 - 4/13/2017Anderson</v>
      </c>
      <c r="P150" s="197">
        <f>VLOOKUP($N150,MTSP2016!$A$4:$T$257,E$134+12,FALSE)</f>
        <v>22500</v>
      </c>
      <c r="Q150" s="197">
        <f>VLOOKUP($N150,MTSP2016!$A$4:$T$257,F$134+12,FALSE)</f>
        <v>25680</v>
      </c>
      <c r="R150" s="197">
        <f>VLOOKUP($N150,MTSP2016!$A$4:$T$257,G$134+12,FALSE)</f>
        <v>28920</v>
      </c>
      <c r="S150" s="197">
        <f>VLOOKUP($N150,MTSP2016!$A$4:$T$257,H$134+12,FALSE)</f>
        <v>32100</v>
      </c>
      <c r="T150" s="197">
        <f>VLOOKUP($N150,MTSP2016!$A$4:$T$257,I$134+12,FALSE)</f>
        <v>34680</v>
      </c>
      <c r="U150" s="197">
        <f>VLOOKUP($N150,MTSP2016!$A$4:$T$257,J$134+12,FALSE)</f>
        <v>37260</v>
      </c>
      <c r="V150" s="197">
        <f>VLOOKUP($N150,MTSP2016!$A$4:$T$257,K$134+12,FALSE)</f>
        <v>39840</v>
      </c>
      <c r="W150" s="197">
        <f>VLOOKUP($N150,MTSP2016!$A$4:$T$257,L$134+12,FALSE)</f>
        <v>42420</v>
      </c>
      <c r="X150" s="207"/>
      <c r="Y150" s="197">
        <f>IF($B$18=$AU$10,VLOOKUP($N150,MTSP2016!$A$4:$AK$257,E$110+29,FALSE),0)</f>
        <v>23340</v>
      </c>
      <c r="Z150" s="197">
        <f>IF($B$18=$AU$10,VLOOKUP($N150,MTSP2016!$A$4:$AK$257,F$110+29,FALSE),0)</f>
        <v>26640</v>
      </c>
      <c r="AA150" s="197">
        <f>IF($B$18=$AU$10,VLOOKUP($N150,MTSP2016!$A$4:$AK$257,G$110+29,FALSE),0)</f>
        <v>30000</v>
      </c>
      <c r="AB150" s="197">
        <f>IF($B$18=$AU$10,VLOOKUP($N150,MTSP2016!$A$4:$AK$257,H$110+29,FALSE),0)</f>
        <v>33300</v>
      </c>
      <c r="AC150" s="197">
        <f>IF($B$18=$AU$10,VLOOKUP($N150,MTSP2016!$A$4:$AK$257,I$110+29,FALSE),0)</f>
        <v>36000</v>
      </c>
      <c r="AD150" s="197">
        <f>IF($B$18=$AU$10,VLOOKUP($N150,MTSP2016!$A$4:$AK$257,J$110+29,FALSE),0)</f>
        <v>38640</v>
      </c>
      <c r="AE150" s="197">
        <f>IF($B$18=$AU$10,VLOOKUP($N150,MTSP2016!$A$4:$AK$257,K$110+29,FALSE),0)</f>
        <v>41340</v>
      </c>
      <c r="AF150" s="197">
        <f>IF($B$18=$AU$10,VLOOKUP($N150,MTSP2016!$A$4:$AK$257,L$110+29,FALSE),0)</f>
        <v>43980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23520</v>
      </c>
      <c r="F151" s="299">
        <f t="shared" ref="F151:L153" si="177">+MAX(F150,F152)</f>
        <v>26880</v>
      </c>
      <c r="G151" s="299">
        <f t="shared" si="177"/>
        <v>30240</v>
      </c>
      <c r="H151" s="299">
        <f t="shared" si="177"/>
        <v>33600</v>
      </c>
      <c r="I151" s="299">
        <f t="shared" si="177"/>
        <v>36300</v>
      </c>
      <c r="J151" s="299">
        <f t="shared" si="177"/>
        <v>39000</v>
      </c>
      <c r="K151" s="299">
        <f t="shared" si="177"/>
        <v>41700</v>
      </c>
      <c r="L151" s="299">
        <f t="shared" si="177"/>
        <v>44400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23520</v>
      </c>
      <c r="F152" s="301">
        <f t="shared" si="178"/>
        <v>26880</v>
      </c>
      <c r="G152" s="301">
        <f t="shared" si="178"/>
        <v>30240</v>
      </c>
      <c r="H152" s="301">
        <f t="shared" si="178"/>
        <v>33600</v>
      </c>
      <c r="I152" s="301">
        <f t="shared" si="178"/>
        <v>36300</v>
      </c>
      <c r="J152" s="301">
        <f t="shared" si="178"/>
        <v>39000</v>
      </c>
      <c r="K152" s="301">
        <f t="shared" si="178"/>
        <v>41700</v>
      </c>
      <c r="L152" s="301">
        <f t="shared" si="178"/>
        <v>44400</v>
      </c>
      <c r="M152" s="207"/>
      <c r="N152" s="218" t="str">
        <f>CONCATENATE(AU27,$B$11)</f>
        <v>5/30/2017 - 3/31/2018Anderson</v>
      </c>
      <c r="O152" s="207"/>
      <c r="P152" s="197">
        <f>VLOOKUP(N152,MTSP2017!A4:T257,E$134+12,FALSE)</f>
        <v>23520</v>
      </c>
      <c r="Q152" s="197">
        <f>VLOOKUP(N152,MTSP2017!A4:T257,F$134+12,FALSE)</f>
        <v>26880</v>
      </c>
      <c r="R152" s="197">
        <f>VLOOKUP(N152,MTSP2017!A4:T257,G$134+12,FALSE)</f>
        <v>30240</v>
      </c>
      <c r="S152" s="197">
        <f>VLOOKUP(N152,MTSP2017!A4:T257,H$134+12,FALSE)</f>
        <v>33600</v>
      </c>
      <c r="T152" s="197">
        <f>VLOOKUP(N152,MTSP2017!A4:T257,I$134+12,FALSE)</f>
        <v>36300</v>
      </c>
      <c r="U152" s="197">
        <f>VLOOKUP(N152,MTSP2017!A4:T257,J$134+12,FALSE)</f>
        <v>39000</v>
      </c>
      <c r="V152" s="197">
        <f>VLOOKUP(N152,MTSP2017!A4:T257,K$134+12,FALSE)</f>
        <v>41700</v>
      </c>
      <c r="W152" s="197">
        <f>VLOOKUP(N152,MTSP2017!A4:T257,L$134+12,FALSE)</f>
        <v>44400</v>
      </c>
      <c r="X152" s="207"/>
      <c r="Y152" s="197">
        <f>IF($B$18=$AU$10,VLOOKUP($N152,MTSP2017!A4:AK257,E$110+29,FALSE),0)</f>
        <v>0</v>
      </c>
      <c r="Z152" s="197">
        <f>IF($B$18=$AU$10,VLOOKUP($N152,MTSP2017!A4:AK257,F$110+29,FALSE),0)</f>
        <v>0</v>
      </c>
      <c r="AA152" s="197">
        <f>IF($B$18=$AU$10,VLOOKUP($N152,MTSP2017!A4:AK257,G$110+29,FALSE),0)</f>
        <v>0</v>
      </c>
      <c r="AB152" s="197">
        <f>IF($B$18=$AU$10,VLOOKUP($N152,MTSP2017!A4:AK257,H$110+29,FALSE),0)</f>
        <v>0</v>
      </c>
      <c r="AC152" s="197">
        <f>IF($B$18=$AU$10,VLOOKUP($N152,MTSP2017!A4:AK257,I$110+29,FALSE),0)</f>
        <v>0</v>
      </c>
      <c r="AD152" s="197">
        <f>IF($B$18=$AU$10,VLOOKUP($N152,MTSP2017!A4:AK257,J$110+29,FALSE),0)</f>
        <v>0</v>
      </c>
      <c r="AE152" s="197">
        <f>IF($B$18=$AU$10,VLOOKUP($N152,MTSP2017!A4:AK257,K$110+29,FALSE),0)</f>
        <v>0</v>
      </c>
      <c r="AF152" s="197">
        <f>IF($B$18=$AU$10,VLOOKUP($N152,MTSP2017!A4:AK257,L$110+29,FALSE),0)</f>
        <v>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24540</v>
      </c>
      <c r="F153" s="299">
        <f t="shared" si="177"/>
        <v>28020</v>
      </c>
      <c r="G153" s="299">
        <f t="shared" si="177"/>
        <v>31560</v>
      </c>
      <c r="H153" s="299">
        <f t="shared" si="177"/>
        <v>35040</v>
      </c>
      <c r="I153" s="299">
        <f t="shared" si="177"/>
        <v>37860</v>
      </c>
      <c r="J153" s="299">
        <f t="shared" si="177"/>
        <v>40620</v>
      </c>
      <c r="K153" s="299">
        <f t="shared" si="177"/>
        <v>43440</v>
      </c>
      <c r="L153" s="299">
        <f t="shared" si="177"/>
        <v>46260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24540</v>
      </c>
      <c r="F154" s="301">
        <f t="shared" si="180"/>
        <v>28020</v>
      </c>
      <c r="G154" s="301">
        <f t="shared" si="180"/>
        <v>31560</v>
      </c>
      <c r="H154" s="301">
        <f t="shared" si="180"/>
        <v>35040</v>
      </c>
      <c r="I154" s="301">
        <f t="shared" si="180"/>
        <v>37860</v>
      </c>
      <c r="J154" s="301">
        <f t="shared" si="180"/>
        <v>40620</v>
      </c>
      <c r="K154" s="301">
        <f t="shared" si="180"/>
        <v>43440</v>
      </c>
      <c r="L154" s="301">
        <f t="shared" si="180"/>
        <v>46260</v>
      </c>
      <c r="M154" s="207"/>
      <c r="N154" s="218" t="str">
        <f>CONCATENATE(AU29,$B$11)</f>
        <v>5/17/2018 - 4/23/2019Anderson</v>
      </c>
      <c r="O154" s="207"/>
      <c r="P154" s="197">
        <f>INDEX(MTSP2018!M3:M257,MATCH('Income-Rent Tool'!$N$154,MTSP2018!$A$3:$A$257,0))</f>
        <v>23760</v>
      </c>
      <c r="Q154" s="197">
        <f>INDEX(MTSP2018!N3:N257,MATCH('Income-Rent Tool'!$N$154,MTSP2018!$A$3:$A$257,0))</f>
        <v>27120</v>
      </c>
      <c r="R154" s="197">
        <f>INDEX(MTSP2018!O3:O257,MATCH('Income-Rent Tool'!$N$154,MTSP2018!$A$3:$A$257,0))</f>
        <v>30540</v>
      </c>
      <c r="S154" s="197">
        <f>INDEX(MTSP2018!P3:P257,MATCH('Income-Rent Tool'!$N$154,MTSP2018!$A$3:$A$257,0))</f>
        <v>33900</v>
      </c>
      <c r="T154" s="197">
        <f>INDEX(MTSP2018!Q3:Q257,MATCH('Income-Rent Tool'!$N$154,MTSP2018!$A$3:$A$257,0))</f>
        <v>36660</v>
      </c>
      <c r="U154" s="197">
        <f>INDEX(MTSP2018!R3:R257,MATCH('Income-Rent Tool'!$N$154,MTSP2018!$A$3:$A$257,0))</f>
        <v>39360</v>
      </c>
      <c r="V154" s="197">
        <f>INDEX(MTSP2018!S3:S257,MATCH('Income-Rent Tool'!$N$154,MTSP2018!$A$3:$A$257,0))</f>
        <v>42060</v>
      </c>
      <c r="W154" s="197">
        <f>INDEX(MTSP2018!T3:T257,MATCH('Income-Rent Tool'!$N$154,MTSP2018!$A$3:$A$257,0))</f>
        <v>44760</v>
      </c>
      <c r="X154" s="207"/>
      <c r="Y154" s="197">
        <f>IF($B$18=$AU$10,VLOOKUP($N154,MTSP2018!$A$3:$AR$257,E$110+29,FALSE),0)</f>
        <v>0</v>
      </c>
      <c r="Z154" s="197">
        <f>IF($B$18=$AU$10,VLOOKUP($N154,MTSP2018!$A$3:$AR$257,F$110+29,FALSE),0)</f>
        <v>0</v>
      </c>
      <c r="AA154" s="197">
        <f>IF($B$18=$AU$10,VLOOKUP($N154,MTSP2018!$A$3:$AR$257,G$110+29,FALSE),0)</f>
        <v>0</v>
      </c>
      <c r="AB154" s="197">
        <f>IF($B$18=$AU$10,VLOOKUP($N154,MTSP2018!$A$3:$AR$257,H$110+29,FALSE),0)</f>
        <v>0</v>
      </c>
      <c r="AC154" s="197">
        <f>IF($B$18=$AU$10,VLOOKUP($N154,MTSP2018!$A$3:$AR$257,I$110+29,FALSE),0)</f>
        <v>0</v>
      </c>
      <c r="AD154" s="197">
        <f>IF($B$18=$AU$10,VLOOKUP($N154,MTSP2018!$A$3:$AR$257,J$110+29,FALSE),0)</f>
        <v>0</v>
      </c>
      <c r="AE154" s="197">
        <f>IF($B$18=$AU$10,VLOOKUP($N154,MTSP2018!$A$3:$AR$257,K$110+29,FALSE),0)</f>
        <v>0</v>
      </c>
      <c r="AF154" s="197">
        <f>IF($B$18=$AU$10,VLOOKUP($N154,MTSP2018!$A$3:$AR$257,L$110+29,FALSE),0)</f>
        <v>0</v>
      </c>
      <c r="AG154" s="207"/>
      <c r="AH154" s="207"/>
      <c r="AI154" s="197">
        <f t="shared" ref="AI154:AP154" si="181">+AI130*1.2</f>
        <v>24540</v>
      </c>
      <c r="AJ154" s="197">
        <f t="shared" si="181"/>
        <v>28020</v>
      </c>
      <c r="AK154" s="197">
        <f t="shared" si="181"/>
        <v>31560</v>
      </c>
      <c r="AL154" s="197">
        <f t="shared" si="181"/>
        <v>35040</v>
      </c>
      <c r="AM154" s="197">
        <f t="shared" si="181"/>
        <v>37860</v>
      </c>
      <c r="AN154" s="197">
        <f t="shared" si="181"/>
        <v>40620</v>
      </c>
      <c r="AO154" s="197">
        <f t="shared" si="181"/>
        <v>43440</v>
      </c>
      <c r="AP154" s="197">
        <f t="shared" si="181"/>
        <v>46260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25440</v>
      </c>
      <c r="F155" s="299">
        <f t="shared" ref="F155:L155" si="182">+MAX(F154,F156)</f>
        <v>29100</v>
      </c>
      <c r="G155" s="299">
        <f t="shared" si="182"/>
        <v>32700</v>
      </c>
      <c r="H155" s="299">
        <f t="shared" si="182"/>
        <v>36360</v>
      </c>
      <c r="I155" s="299">
        <f t="shared" si="182"/>
        <v>39240</v>
      </c>
      <c r="J155" s="299">
        <f t="shared" si="182"/>
        <v>42180</v>
      </c>
      <c r="K155" s="299">
        <f t="shared" si="182"/>
        <v>45060</v>
      </c>
      <c r="L155" s="299">
        <f t="shared" si="182"/>
        <v>48000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25440</v>
      </c>
      <c r="F156" s="301">
        <f t="shared" si="183"/>
        <v>29100</v>
      </c>
      <c r="G156" s="301">
        <f t="shared" si="183"/>
        <v>32700</v>
      </c>
      <c r="H156" s="301">
        <f t="shared" si="183"/>
        <v>36360</v>
      </c>
      <c r="I156" s="301">
        <f t="shared" si="183"/>
        <v>39240</v>
      </c>
      <c r="J156" s="301">
        <f t="shared" si="183"/>
        <v>42180</v>
      </c>
      <c r="K156" s="301">
        <f t="shared" si="183"/>
        <v>45060</v>
      </c>
      <c r="L156" s="301">
        <f t="shared" si="183"/>
        <v>48000</v>
      </c>
      <c r="M156" s="207"/>
      <c r="N156" s="218" t="str">
        <f>CONCATENATE(AU31,$B$11)</f>
        <v>On or After 6/9/2019Anderson</v>
      </c>
      <c r="O156" s="207"/>
      <c r="P156" s="197">
        <f>INDEX(MTSP2019!M3:M257,MATCH('Income-Rent Tool'!$N$156,MTSP2019!$A$3:$A$257,0))</f>
        <v>24660</v>
      </c>
      <c r="Q156" s="197">
        <f>INDEX(MTSP2019!N3:N257,MATCH('Income-Rent Tool'!$N$156,MTSP2019!$A$3:$A$257,0))</f>
        <v>28200</v>
      </c>
      <c r="R156" s="197">
        <f>INDEX(MTSP2019!O3:O257,MATCH('Income-Rent Tool'!$N$156,MTSP2019!$A$3:$A$257,0))</f>
        <v>31740</v>
      </c>
      <c r="S156" s="197">
        <f>INDEX(MTSP2019!P3:P257,MATCH('Income-Rent Tool'!$N$156,MTSP2019!$A$3:$A$257,0))</f>
        <v>35220</v>
      </c>
      <c r="T156" s="197">
        <f>INDEX(MTSP2019!Q3:Q257,MATCH('Income-Rent Tool'!$N$156,MTSP2019!$A$3:$A$257,0))</f>
        <v>38040</v>
      </c>
      <c r="U156" s="197">
        <f>INDEX(MTSP2019!R3:R257,MATCH('Income-Rent Tool'!$N$156,MTSP2019!$A$3:$A$257,0))</f>
        <v>40860</v>
      </c>
      <c r="V156" s="197">
        <f>INDEX(MTSP2019!S3:S257,MATCH('Income-Rent Tool'!$N$156,MTSP2019!$A$3:$A$257,0))</f>
        <v>43680</v>
      </c>
      <c r="W156" s="197">
        <f>INDEX(MTSP2019!T3:T257,MATCH('Income-Rent Tool'!$N$156,MTSP2019!$A$3:$A$257,0))</f>
        <v>46500</v>
      </c>
      <c r="X156" s="207"/>
      <c r="Y156" s="197">
        <f>IF($B$18=$AU$10,VLOOKUP($N156,MTSP2019!$A$3:$AR$257,E$110+29,FALSE),0)</f>
        <v>0</v>
      </c>
      <c r="Z156" s="197">
        <f>IF($B$18=$AU$10,VLOOKUP($N156,MTSP2019!$A$3:$AR$257,F$110+29,FALSE),0)</f>
        <v>0</v>
      </c>
      <c r="AA156" s="197">
        <f>IF($B$18=$AU$10,VLOOKUP($N156,MTSP2019!$A$3:$AR$257,G$110+29,FALSE),0)</f>
        <v>0</v>
      </c>
      <c r="AB156" s="197">
        <f>IF($B$18=$AU$10,VLOOKUP($N156,MTSP2019!$A$3:$AR$257,H$110+29,FALSE),0)</f>
        <v>0</v>
      </c>
      <c r="AC156" s="197">
        <f>IF($B$18=$AU$10,VLOOKUP($N156,MTSP2019!$A$3:$AR$257,I$110+29,FALSE),0)</f>
        <v>0</v>
      </c>
      <c r="AD156" s="197">
        <f>IF($B$18=$AU$10,VLOOKUP($N156,MTSP2019!$A$3:$AR$257,J$110+29,FALSE),0)</f>
        <v>0</v>
      </c>
      <c r="AE156" s="197">
        <f>IF($B$18=$AU$10,VLOOKUP($N156,MTSP2019!$A$3:$AR$257,K$110+29,FALSE),0)</f>
        <v>0</v>
      </c>
      <c r="AF156" s="197">
        <f>IF($B$18=$AU$10,VLOOKUP($N156,MTSP2019!$A$3:$AR$257,L$110+29,FALSE),0)</f>
        <v>0</v>
      </c>
      <c r="AG156" s="207"/>
      <c r="AH156" s="207"/>
      <c r="AI156" s="197">
        <f t="shared" ref="AI156:AP156" si="184">+AI132*1.2</f>
        <v>25440</v>
      </c>
      <c r="AJ156" s="197">
        <f t="shared" si="184"/>
        <v>29100</v>
      </c>
      <c r="AK156" s="197">
        <f t="shared" si="184"/>
        <v>32700</v>
      </c>
      <c r="AL156" s="197">
        <f t="shared" si="184"/>
        <v>36360</v>
      </c>
      <c r="AM156" s="197">
        <f t="shared" si="184"/>
        <v>39240</v>
      </c>
      <c r="AN156" s="197">
        <f t="shared" si="184"/>
        <v>42180</v>
      </c>
      <c r="AO156" s="197">
        <f t="shared" si="184"/>
        <v>45060</v>
      </c>
      <c r="AP156" s="197">
        <f t="shared" si="184"/>
        <v>48000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26880</v>
      </c>
      <c r="F159" s="298">
        <f t="shared" si="187"/>
        <v>30720</v>
      </c>
      <c r="G159" s="298">
        <f t="shared" si="187"/>
        <v>34560</v>
      </c>
      <c r="H159" s="298">
        <f t="shared" si="187"/>
        <v>38400</v>
      </c>
      <c r="I159" s="298">
        <f t="shared" si="187"/>
        <v>41520</v>
      </c>
      <c r="J159" s="298">
        <f t="shared" si="187"/>
        <v>44560</v>
      </c>
      <c r="K159" s="298">
        <f t="shared" si="187"/>
        <v>47680</v>
      </c>
      <c r="L159" s="298">
        <f t="shared" si="187"/>
        <v>50720</v>
      </c>
      <c r="N159" s="91" t="str">
        <f>CONCATENATE($AU$10,$B$11,$N$158)</f>
        <v>Before 12-31-2008Anderson80</v>
      </c>
      <c r="P159" s="194">
        <f>VLOOKUP($N159,'pre 12-31-08'!$A$4:$L$1400,E$158+3,FALSE)</f>
        <v>26880</v>
      </c>
      <c r="Q159" s="194">
        <f>VLOOKUP($N159,'pre 12-31-08'!$A$4:$L$1400,F$158+3,FALSE)</f>
        <v>30720</v>
      </c>
      <c r="R159" s="194">
        <f>VLOOKUP($N159,'pre 12-31-08'!$A$4:$L$1400,G$158+3,FALSE)</f>
        <v>34560</v>
      </c>
      <c r="S159" s="194">
        <f>VLOOKUP($N159,'pre 12-31-08'!$A$4:$L$1400,H$158+3,FALSE)</f>
        <v>38400</v>
      </c>
      <c r="T159" s="194">
        <f>VLOOKUP($N159,'pre 12-31-08'!$A$4:$L$1400,I$158+3,FALSE)</f>
        <v>41520</v>
      </c>
      <c r="U159" s="194">
        <f>VLOOKUP($N159,'pre 12-31-08'!$A$4:$L$1400,J$158+3,FALSE)</f>
        <v>44560</v>
      </c>
      <c r="V159" s="194">
        <f>VLOOKUP($N159,'pre 12-31-08'!$A$4:$L$1400,K$158+3,FALSE)</f>
        <v>47680</v>
      </c>
      <c r="W159" s="194">
        <f>VLOOKUP($N159,'pre 12-31-08'!$A$4:$L$1400,L$158+3,FALSE)</f>
        <v>50720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28880</v>
      </c>
      <c r="F160" s="298">
        <f t="shared" si="187"/>
        <v>33040</v>
      </c>
      <c r="G160" s="298">
        <f t="shared" si="187"/>
        <v>37120</v>
      </c>
      <c r="H160" s="298">
        <f t="shared" si="187"/>
        <v>41280</v>
      </c>
      <c r="I160" s="298">
        <f t="shared" si="187"/>
        <v>44560</v>
      </c>
      <c r="J160" s="298">
        <f t="shared" si="187"/>
        <v>47920</v>
      </c>
      <c r="K160" s="298">
        <f t="shared" si="187"/>
        <v>51200</v>
      </c>
      <c r="L160" s="298">
        <f t="shared" si="187"/>
        <v>54480</v>
      </c>
      <c r="N160" s="91" t="str">
        <f>CONCATENATE($AU$11,$B$11,$N$158)</f>
        <v>1/1/2009 - 5/13/2010Anderson80</v>
      </c>
      <c r="P160" s="194">
        <f>VLOOKUP($N160,'1-1-09-5-14-10'!$A$4:$L$1400,E$158+3,FALSE)</f>
        <v>26880</v>
      </c>
      <c r="Q160" s="194">
        <f>VLOOKUP($N160,'1-1-09-5-14-10'!$A$4:$L$1400,F$158+3,FALSE)</f>
        <v>30720</v>
      </c>
      <c r="R160" s="194">
        <f>VLOOKUP($N160,'1-1-09-5-14-10'!$A$4:$L$1400,G$158+3,FALSE)</f>
        <v>34560</v>
      </c>
      <c r="S160" s="194">
        <f>VLOOKUP($N160,'1-1-09-5-14-10'!$A$4:$L$1400,H$158+3,FALSE)</f>
        <v>38400</v>
      </c>
      <c r="T160" s="194">
        <f>VLOOKUP($N160,'1-1-09-5-14-10'!$A$4:$L$1400,I$158+3,FALSE)</f>
        <v>41520</v>
      </c>
      <c r="U160" s="194">
        <f>VLOOKUP($N160,'1-1-09-5-14-10'!$A$4:$L$1400,J$158+3,FALSE)</f>
        <v>44560</v>
      </c>
      <c r="V160" s="194">
        <f>VLOOKUP($N160,'1-1-09-5-14-10'!$A$4:$L$1400,K$158+3,FALSE)</f>
        <v>47680</v>
      </c>
      <c r="W160" s="194">
        <f>VLOOKUP($N160,'1-1-09-5-14-10'!$A$4:$L$1400,L$158+3,FALSE)</f>
        <v>50720</v>
      </c>
      <c r="Y160" s="38"/>
      <c r="Z160" s="30"/>
      <c r="AA160" s="30"/>
      <c r="AB160" s="30"/>
      <c r="AC160" s="30"/>
      <c r="AD160" s="30"/>
      <c r="AE160" s="30"/>
      <c r="AF160" s="39"/>
      <c r="AI160" s="194">
        <f t="shared" ref="AI160:AP160" si="189">+AI112/5*8</f>
        <v>28880</v>
      </c>
      <c r="AJ160" s="194">
        <f t="shared" si="189"/>
        <v>33040</v>
      </c>
      <c r="AK160" s="194">
        <f t="shared" si="189"/>
        <v>37120</v>
      </c>
      <c r="AL160" s="194">
        <f t="shared" si="189"/>
        <v>41280</v>
      </c>
      <c r="AM160" s="194">
        <f t="shared" si="189"/>
        <v>44560</v>
      </c>
      <c r="AN160" s="194">
        <f t="shared" si="189"/>
        <v>47920</v>
      </c>
      <c r="AO160" s="194">
        <f t="shared" si="189"/>
        <v>51200</v>
      </c>
      <c r="AP160" s="194">
        <f t="shared" si="189"/>
        <v>54480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28880</v>
      </c>
      <c r="F161" s="299">
        <f t="shared" si="190"/>
        <v>33040</v>
      </c>
      <c r="G161" s="299">
        <f t="shared" si="190"/>
        <v>37120</v>
      </c>
      <c r="H161" s="299">
        <f t="shared" si="190"/>
        <v>41280</v>
      </c>
      <c r="I161" s="299">
        <f t="shared" si="190"/>
        <v>44560</v>
      </c>
      <c r="J161" s="299">
        <f t="shared" si="190"/>
        <v>47920</v>
      </c>
      <c r="K161" s="299">
        <f t="shared" si="190"/>
        <v>51200</v>
      </c>
      <c r="L161" s="299">
        <f t="shared" si="190"/>
        <v>54480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28880</v>
      </c>
      <c r="F162" s="298">
        <f t="shared" si="191"/>
        <v>33040</v>
      </c>
      <c r="G162" s="298">
        <f t="shared" si="191"/>
        <v>37120</v>
      </c>
      <c r="H162" s="298">
        <f t="shared" si="191"/>
        <v>41280</v>
      </c>
      <c r="I162" s="298">
        <f t="shared" si="191"/>
        <v>44560</v>
      </c>
      <c r="J162" s="298">
        <f t="shared" si="191"/>
        <v>47920</v>
      </c>
      <c r="K162" s="298">
        <f t="shared" si="191"/>
        <v>51200</v>
      </c>
      <c r="L162" s="298">
        <f t="shared" si="191"/>
        <v>54480</v>
      </c>
      <c r="M162" s="6"/>
      <c r="N162" s="91" t="str">
        <f>CONCATENATE($AU$13,$B$11,$N$158)</f>
        <v>6/29/2010 - 5/30/2011Anderson80</v>
      </c>
      <c r="O162" s="6"/>
      <c r="P162" s="194">
        <f>VLOOKUP($N162,'5-14-10-5-31-11'!$A$4:$L$1400,E$158+3,FALSE)</f>
        <v>26880</v>
      </c>
      <c r="Q162" s="194">
        <f>VLOOKUP($N162,'5-14-10-5-31-11'!$A$4:$L$1400,F$158+3,FALSE)</f>
        <v>30720</v>
      </c>
      <c r="R162" s="194">
        <f>VLOOKUP($N162,'5-14-10-5-31-11'!$A$4:$L$1400,G$158+3,FALSE)</f>
        <v>34560</v>
      </c>
      <c r="S162" s="194">
        <f>VLOOKUP($N162,'5-14-10-5-31-11'!$A$4:$L$1400,H$158+3,FALSE)</f>
        <v>38400</v>
      </c>
      <c r="T162" s="194">
        <f>VLOOKUP($N162,'5-14-10-5-31-11'!$A$4:$L$1400,I$158+3,FALSE)</f>
        <v>41520</v>
      </c>
      <c r="U162" s="194">
        <f>VLOOKUP($N162,'5-14-10-5-31-11'!$A$4:$L$1400,J$158+3,FALSE)</f>
        <v>44560</v>
      </c>
      <c r="V162" s="194">
        <f>VLOOKUP($N162,'5-14-10-5-31-11'!$A$4:$L$1400,K$158+3,FALSE)</f>
        <v>47680</v>
      </c>
      <c r="W162" s="194">
        <f>VLOOKUP($N162,'5-14-10-5-31-11'!$A$4:$L$1400,L$158+3,FALSE)</f>
        <v>50720</v>
      </c>
      <c r="X162" s="6"/>
      <c r="Y162" s="38"/>
      <c r="Z162" s="30"/>
      <c r="AA162" s="30"/>
      <c r="AB162" s="30"/>
      <c r="AC162" s="30"/>
      <c r="AD162" s="30"/>
      <c r="AE162" s="30"/>
      <c r="AF162" s="39"/>
      <c r="AG162" s="6"/>
      <c r="AH162" s="6"/>
      <c r="AI162" s="194">
        <f t="shared" ref="AI162:AP162" si="192">+AI114/5*8</f>
        <v>28880</v>
      </c>
      <c r="AJ162" s="194">
        <f t="shared" si="192"/>
        <v>33040</v>
      </c>
      <c r="AK162" s="194">
        <f t="shared" si="192"/>
        <v>37120</v>
      </c>
      <c r="AL162" s="194">
        <f t="shared" si="192"/>
        <v>41280</v>
      </c>
      <c r="AM162" s="194">
        <f t="shared" si="192"/>
        <v>44560</v>
      </c>
      <c r="AN162" s="194">
        <f t="shared" si="192"/>
        <v>47920</v>
      </c>
      <c r="AO162" s="194">
        <f t="shared" si="192"/>
        <v>51200</v>
      </c>
      <c r="AP162" s="194">
        <f t="shared" si="192"/>
        <v>54480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3015</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29200</v>
      </c>
      <c r="F163" s="299">
        <f t="shared" si="193"/>
        <v>33360</v>
      </c>
      <c r="G163" s="299">
        <f t="shared" si="193"/>
        <v>37520</v>
      </c>
      <c r="H163" s="299">
        <f t="shared" si="193"/>
        <v>41680</v>
      </c>
      <c r="I163" s="299">
        <f t="shared" si="193"/>
        <v>45040</v>
      </c>
      <c r="J163" s="299">
        <f t="shared" si="193"/>
        <v>48400</v>
      </c>
      <c r="K163" s="299">
        <f t="shared" si="193"/>
        <v>51760</v>
      </c>
      <c r="L163" s="299">
        <f t="shared" si="193"/>
        <v>55040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29200</v>
      </c>
      <c r="F164" s="298">
        <f t="shared" si="194"/>
        <v>33360</v>
      </c>
      <c r="G164" s="298">
        <f t="shared" si="194"/>
        <v>37520</v>
      </c>
      <c r="H164" s="298">
        <f t="shared" si="194"/>
        <v>41680</v>
      </c>
      <c r="I164" s="298">
        <f t="shared" si="194"/>
        <v>45040</v>
      </c>
      <c r="J164" s="298">
        <f t="shared" si="194"/>
        <v>48400</v>
      </c>
      <c r="K164" s="298">
        <f t="shared" si="194"/>
        <v>51760</v>
      </c>
      <c r="L164" s="298">
        <f t="shared" si="194"/>
        <v>55040</v>
      </c>
      <c r="M164" s="6"/>
      <c r="N164" s="168" t="s">
        <v>2103</v>
      </c>
      <c r="O164" s="6"/>
      <c r="P164" s="194">
        <f t="shared" ref="P164:W164" si="195">+P116/5*8</f>
        <v>28240</v>
      </c>
      <c r="Q164" s="194">
        <f t="shared" si="195"/>
        <v>32320</v>
      </c>
      <c r="R164" s="194">
        <f t="shared" si="195"/>
        <v>36320</v>
      </c>
      <c r="S164" s="194">
        <f t="shared" si="195"/>
        <v>40320</v>
      </c>
      <c r="T164" s="194">
        <f t="shared" si="195"/>
        <v>43600</v>
      </c>
      <c r="U164" s="194">
        <f t="shared" si="195"/>
        <v>46800</v>
      </c>
      <c r="V164" s="194">
        <f t="shared" si="195"/>
        <v>50000</v>
      </c>
      <c r="W164" s="194">
        <f t="shared" si="195"/>
        <v>53280</v>
      </c>
      <c r="X164" s="6"/>
      <c r="Y164" s="194">
        <f t="shared" ref="Y164:AF164" si="196">+Y116/5*8</f>
        <v>29200</v>
      </c>
      <c r="Z164" s="194">
        <f t="shared" si="196"/>
        <v>33360</v>
      </c>
      <c r="AA164" s="194">
        <f t="shared" si="196"/>
        <v>37520</v>
      </c>
      <c r="AB164" s="194">
        <f t="shared" si="196"/>
        <v>41680</v>
      </c>
      <c r="AC164" s="194">
        <f t="shared" si="196"/>
        <v>45040</v>
      </c>
      <c r="AD164" s="194">
        <f t="shared" si="196"/>
        <v>48400</v>
      </c>
      <c r="AE164" s="194">
        <f t="shared" si="196"/>
        <v>51760</v>
      </c>
      <c r="AF164" s="194">
        <f t="shared" si="196"/>
        <v>55040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29600</v>
      </c>
      <c r="F165" s="299">
        <f t="shared" si="198"/>
        <v>33840</v>
      </c>
      <c r="G165" s="299">
        <f t="shared" si="198"/>
        <v>38080</v>
      </c>
      <c r="H165" s="299">
        <f t="shared" si="198"/>
        <v>42240</v>
      </c>
      <c r="I165" s="299">
        <f t="shared" si="198"/>
        <v>45680</v>
      </c>
      <c r="J165" s="299">
        <f t="shared" si="198"/>
        <v>49040</v>
      </c>
      <c r="K165" s="299">
        <f t="shared" si="198"/>
        <v>52400</v>
      </c>
      <c r="L165" s="299">
        <f t="shared" si="198"/>
        <v>55760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29600</v>
      </c>
      <c r="F166" s="298">
        <f t="shared" si="200"/>
        <v>33840</v>
      </c>
      <c r="G166" s="298">
        <f t="shared" si="200"/>
        <v>38080</v>
      </c>
      <c r="H166" s="298">
        <f t="shared" si="200"/>
        <v>42240</v>
      </c>
      <c r="I166" s="298">
        <f t="shared" si="200"/>
        <v>45680</v>
      </c>
      <c r="J166" s="298">
        <f t="shared" si="200"/>
        <v>49040</v>
      </c>
      <c r="K166" s="298">
        <f t="shared" si="200"/>
        <v>52400</v>
      </c>
      <c r="L166" s="298">
        <f t="shared" si="200"/>
        <v>55760</v>
      </c>
      <c r="N166" s="168" t="s">
        <v>2105</v>
      </c>
      <c r="P166" s="194">
        <f t="shared" ref="P166:W166" si="201">+P118/5*8</f>
        <v>29600</v>
      </c>
      <c r="Q166" s="194">
        <f t="shared" si="201"/>
        <v>33840</v>
      </c>
      <c r="R166" s="194">
        <f t="shared" si="201"/>
        <v>38080</v>
      </c>
      <c r="S166" s="194">
        <f t="shared" si="201"/>
        <v>42240</v>
      </c>
      <c r="T166" s="194">
        <f t="shared" si="201"/>
        <v>45680</v>
      </c>
      <c r="U166" s="194">
        <f t="shared" si="201"/>
        <v>49040</v>
      </c>
      <c r="V166" s="194">
        <f t="shared" si="201"/>
        <v>52400</v>
      </c>
      <c r="W166" s="194">
        <f t="shared" si="201"/>
        <v>55760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31120</v>
      </c>
      <c r="F167" s="299">
        <f t="shared" si="204"/>
        <v>35520</v>
      </c>
      <c r="G167" s="299">
        <f t="shared" si="204"/>
        <v>40000</v>
      </c>
      <c r="H167" s="299">
        <f t="shared" si="204"/>
        <v>44400</v>
      </c>
      <c r="I167" s="299">
        <f t="shared" si="204"/>
        <v>48000</v>
      </c>
      <c r="J167" s="299">
        <f t="shared" si="204"/>
        <v>51520</v>
      </c>
      <c r="K167" s="299">
        <f t="shared" si="204"/>
        <v>55120</v>
      </c>
      <c r="L167" s="299">
        <f t="shared" si="204"/>
        <v>58640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31120</v>
      </c>
      <c r="F168" s="298">
        <f t="shared" si="205"/>
        <v>35520</v>
      </c>
      <c r="G168" s="298">
        <f t="shared" si="205"/>
        <v>40000</v>
      </c>
      <c r="H168" s="298">
        <f t="shared" si="205"/>
        <v>44400</v>
      </c>
      <c r="I168" s="298">
        <f t="shared" si="205"/>
        <v>48000</v>
      </c>
      <c r="J168" s="298">
        <f t="shared" si="205"/>
        <v>51520</v>
      </c>
      <c r="K168" s="298">
        <f t="shared" si="205"/>
        <v>55120</v>
      </c>
      <c r="L168" s="298">
        <f t="shared" si="205"/>
        <v>58640</v>
      </c>
      <c r="N168" s="168" t="s">
        <v>2123</v>
      </c>
      <c r="P168" s="194">
        <f t="shared" ref="P168:W168" si="206">+P120/5*8</f>
        <v>31040</v>
      </c>
      <c r="Q168" s="194">
        <f t="shared" si="206"/>
        <v>35520</v>
      </c>
      <c r="R168" s="194">
        <f t="shared" si="206"/>
        <v>39920</v>
      </c>
      <c r="S168" s="194">
        <f t="shared" si="206"/>
        <v>44320</v>
      </c>
      <c r="T168" s="194">
        <f t="shared" si="206"/>
        <v>47920</v>
      </c>
      <c r="U168" s="194">
        <f t="shared" si="206"/>
        <v>51440</v>
      </c>
      <c r="V168" s="194">
        <f t="shared" si="206"/>
        <v>54960</v>
      </c>
      <c r="W168" s="194">
        <f t="shared" si="206"/>
        <v>58560</v>
      </c>
      <c r="Y168" s="194">
        <f t="shared" ref="Y168:AF168" si="207">+Y120/5*8</f>
        <v>31120</v>
      </c>
      <c r="Z168" s="194">
        <f t="shared" si="207"/>
        <v>35520</v>
      </c>
      <c r="AA168" s="194">
        <f t="shared" si="207"/>
        <v>40000</v>
      </c>
      <c r="AB168" s="194">
        <f t="shared" si="207"/>
        <v>44400</v>
      </c>
      <c r="AC168" s="194">
        <f t="shared" si="207"/>
        <v>48000</v>
      </c>
      <c r="AD168" s="194">
        <f t="shared" si="207"/>
        <v>51520</v>
      </c>
      <c r="AE168" s="194">
        <f t="shared" si="207"/>
        <v>55120</v>
      </c>
      <c r="AF168" s="194">
        <f t="shared" si="207"/>
        <v>58640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31120</v>
      </c>
      <c r="F169" s="299">
        <f t="shared" si="209"/>
        <v>35520</v>
      </c>
      <c r="G169" s="299">
        <f t="shared" si="209"/>
        <v>40000</v>
      </c>
      <c r="H169" s="299">
        <f t="shared" si="209"/>
        <v>44400</v>
      </c>
      <c r="I169" s="299">
        <f t="shared" si="209"/>
        <v>48000</v>
      </c>
      <c r="J169" s="299">
        <f t="shared" si="209"/>
        <v>51520</v>
      </c>
      <c r="K169" s="299">
        <f t="shared" si="209"/>
        <v>55120</v>
      </c>
      <c r="L169" s="299">
        <f t="shared" si="209"/>
        <v>58640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31120</v>
      </c>
      <c r="F170" s="298">
        <f t="shared" si="210"/>
        <v>35520</v>
      </c>
      <c r="G170" s="298">
        <f t="shared" si="210"/>
        <v>40000</v>
      </c>
      <c r="H170" s="298">
        <f t="shared" si="210"/>
        <v>44400</v>
      </c>
      <c r="I170" s="298">
        <f t="shared" si="210"/>
        <v>48000</v>
      </c>
      <c r="J170" s="298">
        <f t="shared" si="210"/>
        <v>51520</v>
      </c>
      <c r="K170" s="298">
        <f t="shared" si="210"/>
        <v>55120</v>
      </c>
      <c r="L170" s="298">
        <f t="shared" si="210"/>
        <v>58640</v>
      </c>
      <c r="N170" s="95" t="s">
        <v>2187</v>
      </c>
      <c r="P170" s="194">
        <f t="shared" ref="P170:W170" si="211">+P122/5*8</f>
        <v>30400</v>
      </c>
      <c r="Q170" s="194">
        <f t="shared" si="211"/>
        <v>34720</v>
      </c>
      <c r="R170" s="194">
        <f t="shared" si="211"/>
        <v>39040</v>
      </c>
      <c r="S170" s="194">
        <f t="shared" si="211"/>
        <v>43360</v>
      </c>
      <c r="T170" s="194">
        <f t="shared" si="211"/>
        <v>46880</v>
      </c>
      <c r="U170" s="194">
        <f t="shared" si="211"/>
        <v>50320</v>
      </c>
      <c r="V170" s="194">
        <f t="shared" si="211"/>
        <v>53840</v>
      </c>
      <c r="W170" s="194">
        <f t="shared" si="211"/>
        <v>57280</v>
      </c>
      <c r="Y170" s="194">
        <f t="shared" ref="Y170:AF170" si="212">+Y122/5*8</f>
        <v>31120</v>
      </c>
      <c r="Z170" s="194">
        <f t="shared" si="212"/>
        <v>35520</v>
      </c>
      <c r="AA170" s="194">
        <f t="shared" si="212"/>
        <v>40000</v>
      </c>
      <c r="AB170" s="194">
        <f t="shared" si="212"/>
        <v>44400</v>
      </c>
      <c r="AC170" s="194">
        <f t="shared" si="212"/>
        <v>48000</v>
      </c>
      <c r="AD170" s="194">
        <f t="shared" si="212"/>
        <v>51520</v>
      </c>
      <c r="AE170" s="194">
        <f t="shared" si="212"/>
        <v>55120</v>
      </c>
      <c r="AF170" s="194">
        <f t="shared" si="212"/>
        <v>58640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31120</v>
      </c>
      <c r="F171" s="299">
        <f t="shared" ref="F171:L171" si="214">+MAX(F170,F172)</f>
        <v>35520</v>
      </c>
      <c r="G171" s="299">
        <f t="shared" si="214"/>
        <v>40000</v>
      </c>
      <c r="H171" s="299">
        <f t="shared" si="214"/>
        <v>44400</v>
      </c>
      <c r="I171" s="299">
        <f t="shared" si="214"/>
        <v>48000</v>
      </c>
      <c r="J171" s="299">
        <f t="shared" si="214"/>
        <v>51520</v>
      </c>
      <c r="K171" s="299">
        <f t="shared" si="214"/>
        <v>55120</v>
      </c>
      <c r="L171" s="299">
        <f t="shared" si="214"/>
        <v>58640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3016</v>
      </c>
      <c r="BG171" s="6">
        <f t="shared" si="199"/>
        <v>71</v>
      </c>
    </row>
    <row r="172" spans="1:59" ht="15" hidden="1" customHeight="1">
      <c r="A172" s="188">
        <f t="shared" si="185"/>
        <v>0</v>
      </c>
      <c r="B172" s="188">
        <f t="shared" si="188"/>
        <v>1</v>
      </c>
      <c r="C172" s="188">
        <f t="shared" si="186"/>
        <v>1</v>
      </c>
      <c r="E172" s="300">
        <f t="shared" ref="E172:L172" si="215">+MAX(P172,Y172,AI172)</f>
        <v>31120</v>
      </c>
      <c r="F172" s="300">
        <f t="shared" si="215"/>
        <v>35520</v>
      </c>
      <c r="G172" s="300">
        <f t="shared" si="215"/>
        <v>40000</v>
      </c>
      <c r="H172" s="300">
        <f t="shared" si="215"/>
        <v>44400</v>
      </c>
      <c r="I172" s="300">
        <f t="shared" si="215"/>
        <v>48000</v>
      </c>
      <c r="J172" s="300">
        <f t="shared" si="215"/>
        <v>51520</v>
      </c>
      <c r="K172" s="300">
        <f t="shared" si="215"/>
        <v>55120</v>
      </c>
      <c r="L172" s="300">
        <f t="shared" si="215"/>
        <v>58640</v>
      </c>
      <c r="N172" s="95" t="s">
        <v>2226</v>
      </c>
      <c r="P172" s="194">
        <f t="shared" ref="P172:W172" si="216">+P124/5*8</f>
        <v>30800</v>
      </c>
      <c r="Q172" s="194">
        <f t="shared" si="216"/>
        <v>35200</v>
      </c>
      <c r="R172" s="194">
        <f t="shared" si="216"/>
        <v>39600</v>
      </c>
      <c r="S172" s="194">
        <f t="shared" si="216"/>
        <v>44000</v>
      </c>
      <c r="T172" s="194">
        <f t="shared" si="216"/>
        <v>47520</v>
      </c>
      <c r="U172" s="194">
        <f t="shared" si="216"/>
        <v>51040</v>
      </c>
      <c r="V172" s="194">
        <f t="shared" si="216"/>
        <v>54560</v>
      </c>
      <c r="W172" s="194">
        <f t="shared" si="216"/>
        <v>58080</v>
      </c>
      <c r="Y172" s="194">
        <f t="shared" ref="Y172:AF172" si="217">+Y124/5*8</f>
        <v>31120</v>
      </c>
      <c r="Z172" s="194">
        <f t="shared" si="217"/>
        <v>35520</v>
      </c>
      <c r="AA172" s="194">
        <f t="shared" si="217"/>
        <v>40000</v>
      </c>
      <c r="AB172" s="194">
        <f t="shared" si="217"/>
        <v>44400</v>
      </c>
      <c r="AC172" s="194">
        <f t="shared" si="217"/>
        <v>48000</v>
      </c>
      <c r="AD172" s="194">
        <f t="shared" si="217"/>
        <v>51520</v>
      </c>
      <c r="AE172" s="194">
        <f t="shared" si="217"/>
        <v>55120</v>
      </c>
      <c r="AF172" s="194">
        <f t="shared" si="217"/>
        <v>58640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31120</v>
      </c>
      <c r="F173" s="299">
        <f t="shared" ref="F173:L173" si="219">+MAX(F172,F174)</f>
        <v>35520</v>
      </c>
      <c r="G173" s="299">
        <f t="shared" si="219"/>
        <v>40000</v>
      </c>
      <c r="H173" s="299">
        <f t="shared" si="219"/>
        <v>44400</v>
      </c>
      <c r="I173" s="299">
        <f t="shared" si="219"/>
        <v>48000</v>
      </c>
      <c r="J173" s="299">
        <f t="shared" si="219"/>
        <v>51520</v>
      </c>
      <c r="K173" s="299">
        <f t="shared" si="219"/>
        <v>55120</v>
      </c>
      <c r="L173" s="299">
        <f t="shared" si="219"/>
        <v>58640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31120</v>
      </c>
      <c r="F174" s="300">
        <f t="shared" si="220"/>
        <v>35520</v>
      </c>
      <c r="G174" s="300">
        <f t="shared" si="220"/>
        <v>40000</v>
      </c>
      <c r="H174" s="300">
        <f t="shared" si="220"/>
        <v>44400</v>
      </c>
      <c r="I174" s="300">
        <f t="shared" si="220"/>
        <v>48000</v>
      </c>
      <c r="J174" s="300">
        <f t="shared" si="220"/>
        <v>51520</v>
      </c>
      <c r="K174" s="300">
        <f t="shared" si="220"/>
        <v>55120</v>
      </c>
      <c r="L174" s="300">
        <f t="shared" si="220"/>
        <v>58640</v>
      </c>
      <c r="N174" s="95" t="s">
        <v>2266</v>
      </c>
      <c r="P174" s="194">
        <f t="shared" ref="P174:W174" si="221">+P126*1.6</f>
        <v>30000</v>
      </c>
      <c r="Q174" s="194">
        <f t="shared" si="221"/>
        <v>34240</v>
      </c>
      <c r="R174" s="194">
        <f t="shared" si="221"/>
        <v>38560</v>
      </c>
      <c r="S174" s="194">
        <f t="shared" si="221"/>
        <v>42800</v>
      </c>
      <c r="T174" s="194">
        <f t="shared" si="221"/>
        <v>46240</v>
      </c>
      <c r="U174" s="194">
        <f t="shared" si="221"/>
        <v>49680</v>
      </c>
      <c r="V174" s="194">
        <f t="shared" si="221"/>
        <v>53120</v>
      </c>
      <c r="W174" s="194">
        <f t="shared" si="221"/>
        <v>56560</v>
      </c>
      <c r="Y174" s="194">
        <f t="shared" ref="Y174:AF174" si="222">+Y126*1.6</f>
        <v>31120</v>
      </c>
      <c r="Z174" s="194">
        <f t="shared" si="222"/>
        <v>35520</v>
      </c>
      <c r="AA174" s="194">
        <f t="shared" si="222"/>
        <v>40000</v>
      </c>
      <c r="AB174" s="194">
        <f t="shared" si="222"/>
        <v>44400</v>
      </c>
      <c r="AC174" s="194">
        <f t="shared" si="222"/>
        <v>48000</v>
      </c>
      <c r="AD174" s="194">
        <f t="shared" si="222"/>
        <v>51520</v>
      </c>
      <c r="AE174" s="194">
        <f t="shared" si="222"/>
        <v>55120</v>
      </c>
      <c r="AF174" s="194">
        <f t="shared" si="222"/>
        <v>58640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31360</v>
      </c>
      <c r="F175" s="299">
        <f t="shared" ref="F175:L179" si="224">+MAX(F174,F176)</f>
        <v>35840</v>
      </c>
      <c r="G175" s="299">
        <f t="shared" si="224"/>
        <v>40320</v>
      </c>
      <c r="H175" s="299">
        <f t="shared" si="224"/>
        <v>44800</v>
      </c>
      <c r="I175" s="299">
        <f t="shared" si="224"/>
        <v>48400</v>
      </c>
      <c r="J175" s="299">
        <f t="shared" si="224"/>
        <v>52000</v>
      </c>
      <c r="K175" s="299">
        <f t="shared" si="224"/>
        <v>55600</v>
      </c>
      <c r="L175" s="299">
        <f t="shared" si="224"/>
        <v>59200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31360</v>
      </c>
      <c r="F176" s="301">
        <f t="shared" ref="F176:L176" si="225">+MAX(Q176,Z176,AJ176)</f>
        <v>35840</v>
      </c>
      <c r="G176" s="301">
        <f t="shared" si="225"/>
        <v>40320</v>
      </c>
      <c r="H176" s="301">
        <f t="shared" si="225"/>
        <v>44800</v>
      </c>
      <c r="I176" s="301">
        <f t="shared" si="225"/>
        <v>48400</v>
      </c>
      <c r="J176" s="301">
        <f t="shared" si="225"/>
        <v>52000</v>
      </c>
      <c r="K176" s="301">
        <f t="shared" si="225"/>
        <v>55600</v>
      </c>
      <c r="L176" s="301">
        <f t="shared" si="225"/>
        <v>59200</v>
      </c>
      <c r="M176" s="207"/>
      <c r="N176" s="218" t="s">
        <v>2379</v>
      </c>
      <c r="O176" s="207"/>
      <c r="P176" s="197">
        <f t="shared" ref="P176:W176" si="226">+P128*1.6</f>
        <v>31360</v>
      </c>
      <c r="Q176" s="197">
        <f t="shared" si="226"/>
        <v>35840</v>
      </c>
      <c r="R176" s="197">
        <f t="shared" si="226"/>
        <v>40320</v>
      </c>
      <c r="S176" s="197">
        <f t="shared" si="226"/>
        <v>44800</v>
      </c>
      <c r="T176" s="197">
        <f t="shared" si="226"/>
        <v>48400</v>
      </c>
      <c r="U176" s="197">
        <f t="shared" si="226"/>
        <v>52000</v>
      </c>
      <c r="V176" s="197">
        <f t="shared" si="226"/>
        <v>55600</v>
      </c>
      <c r="W176" s="197">
        <f t="shared" si="226"/>
        <v>59200</v>
      </c>
      <c r="X176" s="207"/>
      <c r="Y176" s="197">
        <f t="shared" ref="Y176:AF176" si="227">+Y128*1.6</f>
        <v>0</v>
      </c>
      <c r="Z176" s="197">
        <f t="shared" si="227"/>
        <v>0</v>
      </c>
      <c r="AA176" s="197">
        <f t="shared" si="227"/>
        <v>0</v>
      </c>
      <c r="AB176" s="197">
        <f t="shared" si="227"/>
        <v>0</v>
      </c>
      <c r="AC176" s="197">
        <f t="shared" si="227"/>
        <v>0</v>
      </c>
      <c r="AD176" s="197">
        <f t="shared" si="227"/>
        <v>0</v>
      </c>
      <c r="AE176" s="197">
        <f t="shared" si="227"/>
        <v>0</v>
      </c>
      <c r="AF176" s="197">
        <f t="shared" si="227"/>
        <v>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32720</v>
      </c>
      <c r="F177" s="299">
        <f t="shared" si="224"/>
        <v>37360</v>
      </c>
      <c r="G177" s="299">
        <f t="shared" si="224"/>
        <v>42080</v>
      </c>
      <c r="H177" s="299">
        <f t="shared" si="224"/>
        <v>46720</v>
      </c>
      <c r="I177" s="299">
        <f t="shared" si="224"/>
        <v>50480</v>
      </c>
      <c r="J177" s="299">
        <f t="shared" si="224"/>
        <v>54160</v>
      </c>
      <c r="K177" s="299">
        <f t="shared" si="224"/>
        <v>57920</v>
      </c>
      <c r="L177" s="299">
        <f t="shared" si="224"/>
        <v>61680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32720</v>
      </c>
      <c r="F178" s="301">
        <f t="shared" ref="F178" si="229">+MAX(Q178,Z178,AJ178)</f>
        <v>37360</v>
      </c>
      <c r="G178" s="301">
        <f t="shared" ref="G178" si="230">+MAX(R178,AA178,AK178)</f>
        <v>42080</v>
      </c>
      <c r="H178" s="301">
        <f t="shared" ref="H178" si="231">+MAX(S178,AB178,AL178)</f>
        <v>46720</v>
      </c>
      <c r="I178" s="301">
        <f t="shared" ref="I178" si="232">+MAX(T178,AC178,AM178)</f>
        <v>50480</v>
      </c>
      <c r="J178" s="301">
        <f t="shared" ref="J178" si="233">+MAX(U178,AD178,AN178)</f>
        <v>54160</v>
      </c>
      <c r="K178" s="301">
        <f t="shared" ref="K178" si="234">+MAX(V178,AE178,AO178)</f>
        <v>57920</v>
      </c>
      <c r="L178" s="301">
        <f t="shared" ref="L178" si="235">+MAX(W178,AF178,AP178)</f>
        <v>61680</v>
      </c>
      <c r="M178" s="207"/>
      <c r="N178" s="218" t="s">
        <v>3088</v>
      </c>
      <c r="O178" s="207"/>
      <c r="P178" s="197">
        <f t="shared" ref="P178:W178" si="236">P130*1.6</f>
        <v>31680</v>
      </c>
      <c r="Q178" s="197">
        <f t="shared" si="236"/>
        <v>36160</v>
      </c>
      <c r="R178" s="197">
        <f t="shared" si="236"/>
        <v>40720</v>
      </c>
      <c r="S178" s="197">
        <f t="shared" si="236"/>
        <v>45200</v>
      </c>
      <c r="T178" s="197">
        <f t="shared" si="236"/>
        <v>48880</v>
      </c>
      <c r="U178" s="197">
        <f t="shared" si="236"/>
        <v>52480</v>
      </c>
      <c r="V178" s="197">
        <f t="shared" si="236"/>
        <v>56080</v>
      </c>
      <c r="W178" s="197">
        <f t="shared" si="236"/>
        <v>59680</v>
      </c>
      <c r="X178" s="207"/>
      <c r="Y178" s="197">
        <f t="shared" ref="Y178:AF178" si="237">+Y130*1.6</f>
        <v>0</v>
      </c>
      <c r="Z178" s="197">
        <f t="shared" si="237"/>
        <v>0</v>
      </c>
      <c r="AA178" s="197">
        <f t="shared" si="237"/>
        <v>0</v>
      </c>
      <c r="AB178" s="197">
        <f t="shared" si="237"/>
        <v>0</v>
      </c>
      <c r="AC178" s="197">
        <f t="shared" si="237"/>
        <v>0</v>
      </c>
      <c r="AD178" s="197">
        <f t="shared" si="237"/>
        <v>0</v>
      </c>
      <c r="AE178" s="197">
        <f t="shared" si="237"/>
        <v>0</v>
      </c>
      <c r="AF178" s="197">
        <f t="shared" si="237"/>
        <v>0</v>
      </c>
      <c r="AG178" s="207"/>
      <c r="AH178" s="207"/>
      <c r="AI178" s="197">
        <f t="shared" ref="AI178:AP178" si="238">+AI130*1.6</f>
        <v>32720</v>
      </c>
      <c r="AJ178" s="197">
        <f t="shared" si="238"/>
        <v>37360</v>
      </c>
      <c r="AK178" s="197">
        <f t="shared" si="238"/>
        <v>42080</v>
      </c>
      <c r="AL178" s="197">
        <f t="shared" si="238"/>
        <v>46720</v>
      </c>
      <c r="AM178" s="197">
        <f t="shared" si="238"/>
        <v>50480</v>
      </c>
      <c r="AN178" s="197">
        <f t="shared" si="238"/>
        <v>54160</v>
      </c>
      <c r="AO178" s="197">
        <f t="shared" si="238"/>
        <v>57920</v>
      </c>
      <c r="AP178" s="197">
        <f t="shared" si="238"/>
        <v>61680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33920</v>
      </c>
      <c r="F179" s="299">
        <f t="shared" si="224"/>
        <v>38800</v>
      </c>
      <c r="G179" s="299">
        <f t="shared" si="224"/>
        <v>43600</v>
      </c>
      <c r="H179" s="299">
        <f t="shared" si="224"/>
        <v>48480</v>
      </c>
      <c r="I179" s="299">
        <f t="shared" si="224"/>
        <v>52320</v>
      </c>
      <c r="J179" s="299">
        <f t="shared" si="224"/>
        <v>56240</v>
      </c>
      <c r="K179" s="299">
        <f t="shared" si="224"/>
        <v>60080</v>
      </c>
      <c r="L179" s="299">
        <f t="shared" si="224"/>
        <v>64000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33920</v>
      </c>
      <c r="F180" s="301">
        <f t="shared" ref="F180" si="239">+MAX(Q180,Z180,AJ180)</f>
        <v>38800</v>
      </c>
      <c r="G180" s="301">
        <f t="shared" ref="G180" si="240">+MAX(R180,AA180,AK180)</f>
        <v>43600</v>
      </c>
      <c r="H180" s="301">
        <f t="shared" ref="H180" si="241">+MAX(S180,AB180,AL180)</f>
        <v>48480</v>
      </c>
      <c r="I180" s="301">
        <f t="shared" ref="I180" si="242">+MAX(T180,AC180,AM180)</f>
        <v>52320</v>
      </c>
      <c r="J180" s="301">
        <f t="shared" ref="J180" si="243">+MAX(U180,AD180,AN180)</f>
        <v>56240</v>
      </c>
      <c r="K180" s="301">
        <f t="shared" ref="K180" si="244">+MAX(V180,AE180,AO180)</f>
        <v>60080</v>
      </c>
      <c r="L180" s="301">
        <f t="shared" ref="L180" si="245">+MAX(W180,AF180,AP180)</f>
        <v>64000</v>
      </c>
      <c r="M180" s="207"/>
      <c r="N180" s="218" t="s">
        <v>2968</v>
      </c>
      <c r="O180" s="207"/>
      <c r="P180" s="197">
        <f>P132*1.6</f>
        <v>32880</v>
      </c>
      <c r="Q180" s="197">
        <f t="shared" ref="Q180:W180" si="246">Q132*1.6</f>
        <v>37600</v>
      </c>
      <c r="R180" s="197">
        <f t="shared" si="246"/>
        <v>42320</v>
      </c>
      <c r="S180" s="197">
        <f t="shared" si="246"/>
        <v>46960</v>
      </c>
      <c r="T180" s="197">
        <f t="shared" si="246"/>
        <v>50720</v>
      </c>
      <c r="U180" s="197">
        <f t="shared" si="246"/>
        <v>54480</v>
      </c>
      <c r="V180" s="197">
        <f t="shared" si="246"/>
        <v>58240</v>
      </c>
      <c r="W180" s="197">
        <f t="shared" si="246"/>
        <v>62000</v>
      </c>
      <c r="X180" s="207"/>
      <c r="Y180" s="197">
        <f>+Y132*1.6</f>
        <v>0</v>
      </c>
      <c r="Z180" s="197">
        <f t="shared" ref="Z180:AF180" si="247">+Z132*1.6</f>
        <v>0</v>
      </c>
      <c r="AA180" s="197">
        <f t="shared" si="247"/>
        <v>0</v>
      </c>
      <c r="AB180" s="197">
        <f t="shared" si="247"/>
        <v>0</v>
      </c>
      <c r="AC180" s="197">
        <f t="shared" si="247"/>
        <v>0</v>
      </c>
      <c r="AD180" s="197">
        <f t="shared" si="247"/>
        <v>0</v>
      </c>
      <c r="AE180" s="197">
        <f t="shared" si="247"/>
        <v>0</v>
      </c>
      <c r="AF180" s="197">
        <f t="shared" si="247"/>
        <v>0</v>
      </c>
      <c r="AG180" s="207"/>
      <c r="AH180" s="207"/>
      <c r="AI180" s="197">
        <f>+AI132*1.6</f>
        <v>33920</v>
      </c>
      <c r="AJ180" s="197">
        <f t="shared" ref="AJ180:AP180" si="248">+AJ132*1.6</f>
        <v>38800</v>
      </c>
      <c r="AK180" s="197">
        <f t="shared" si="248"/>
        <v>43600</v>
      </c>
      <c r="AL180" s="197">
        <f t="shared" si="248"/>
        <v>48480</v>
      </c>
      <c r="AM180" s="197">
        <f t="shared" si="248"/>
        <v>52320</v>
      </c>
      <c r="AN180" s="197">
        <f t="shared" si="248"/>
        <v>56240</v>
      </c>
      <c r="AO180" s="197">
        <f t="shared" si="248"/>
        <v>60080</v>
      </c>
      <c r="AP180" s="197">
        <f t="shared" si="248"/>
        <v>64000</v>
      </c>
      <c r="AQ180" s="215"/>
      <c r="AT180" s="9" t="s">
        <v>222</v>
      </c>
      <c r="AW180" s="292"/>
      <c r="AX180" s="292"/>
      <c r="AY180" s="287" t="s">
        <v>1217</v>
      </c>
      <c r="AZ180" s="217" t="s">
        <v>1166</v>
      </c>
      <c r="BA180" s="285" t="s">
        <v>1181</v>
      </c>
      <c r="BB180" s="285" t="s">
        <v>1243</v>
      </c>
      <c r="BC180" s="285" t="s">
        <v>1244</v>
      </c>
      <c r="BD180" s="291" t="s">
        <v>1572</v>
      </c>
      <c r="BE180" s="291" t="s">
        <v>118</v>
      </c>
      <c r="BF180" s="285" t="s">
        <v>3017</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3018</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12-31-2008Anderson60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3019</v>
      </c>
      <c r="BG183" s="6">
        <f t="shared" si="199"/>
        <v>76</v>
      </c>
    </row>
    <row r="184" spans="1:59" hidden="1">
      <c r="A184" s="111"/>
      <c r="B184" s="98"/>
      <c r="C184" s="98"/>
      <c r="D184" s="98"/>
      <c r="E184" s="98"/>
      <c r="F184" s="98"/>
      <c r="G184" s="98"/>
      <c r="H184" s="98"/>
      <c r="I184" s="98"/>
      <c r="J184" s="98"/>
      <c r="K184" s="98"/>
      <c r="L184" s="112"/>
      <c r="N184" s="97" t="str">
        <f>CONCATENATE($AU$11,$B$11,$N$134)</f>
        <v>1/1/2009 - 5/13/2010Anderson60</v>
      </c>
      <c r="P184" s="38"/>
      <c r="Q184" s="30"/>
      <c r="R184" s="30"/>
      <c r="S184" s="304">
        <f>+S112/5*10</f>
        <v>48000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3020</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48000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6/29/2010 - 5/30/2011Anderson60</v>
      </c>
      <c r="P186" s="38"/>
      <c r="Q186" s="30"/>
      <c r="R186" s="30"/>
      <c r="S186" s="304">
        <f>+S114/5*10</f>
        <v>48000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52100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7/16/2011 - 11/31/2011Anderson</v>
      </c>
      <c r="P188" s="38"/>
      <c r="Q188" s="30"/>
      <c r="R188" s="30"/>
      <c r="S188" s="304">
        <f>VLOOKUP($N188,'6-1-11'!$A$4:$T$257,E$134+3,FALSE)</f>
        <v>52100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52800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1/16/2012 - 12/3/2012Anderson</v>
      </c>
      <c r="P190" s="38"/>
      <c r="Q190" s="30"/>
      <c r="R190" s="30"/>
      <c r="S190" s="304">
        <f>VLOOKUP($N190,'12-1-11'!$A$4:$T$257,E$134+3,FALSE)</f>
        <v>52800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55500</v>
      </c>
      <c r="T191" s="30"/>
      <c r="U191" s="30"/>
      <c r="V191" s="30"/>
      <c r="W191" s="39"/>
      <c r="AI191" s="38"/>
      <c r="AJ191" s="30"/>
      <c r="AK191" s="30"/>
      <c r="AL191" s="224"/>
      <c r="AM191" s="30"/>
      <c r="AN191" s="30"/>
      <c r="AO191" s="30"/>
      <c r="AP191" s="39"/>
      <c r="AT191" s="9" t="s">
        <v>231</v>
      </c>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1/18/2013 - 12/17/2013Anderson</v>
      </c>
      <c r="P192" s="38"/>
      <c r="Q192" s="30"/>
      <c r="R192" s="30"/>
      <c r="S192" s="304">
        <f>VLOOKUP($N192,'2013 placeholder'!$A$4:$T$257,E$134+3,FALSE)</f>
        <v>55500</v>
      </c>
      <c r="T192" s="30"/>
      <c r="U192" s="30"/>
      <c r="V192" s="30"/>
      <c r="W192" s="39"/>
      <c r="AI192" s="38"/>
      <c r="AJ192" s="30"/>
      <c r="AK192" s="30"/>
      <c r="AL192" s="223">
        <v>52400</v>
      </c>
      <c r="AM192" s="30"/>
      <c r="AN192" s="30"/>
      <c r="AO192" s="30"/>
      <c r="AP192" s="39"/>
      <c r="AT192" s="9" t="s">
        <v>232</v>
      </c>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55500</v>
      </c>
      <c r="T193" s="30"/>
      <c r="U193" s="30"/>
      <c r="V193" s="30"/>
      <c r="W193" s="39"/>
      <c r="AI193" s="38"/>
      <c r="AJ193" s="30"/>
      <c r="AK193" s="30"/>
      <c r="AL193" s="224"/>
      <c r="AM193" s="30"/>
      <c r="AN193" s="30"/>
      <c r="AO193" s="30"/>
      <c r="AP193" s="39"/>
      <c r="AT193" s="9" t="s">
        <v>48</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2/1/2014 - 3/5/2015Anderson</v>
      </c>
      <c r="P194" s="38"/>
      <c r="Q194" s="30"/>
      <c r="R194" s="30"/>
      <c r="S194" s="307">
        <f>VLOOKUP(N194,'2014 placeholder'!A4:D257,E134+3,FALSE)</f>
        <v>54200</v>
      </c>
      <c r="T194" s="30"/>
      <c r="U194" s="30"/>
      <c r="V194" s="30"/>
      <c r="W194" s="39"/>
      <c r="AI194" s="38"/>
      <c r="AJ194" s="30"/>
      <c r="AK194" s="30"/>
      <c r="AL194" s="225">
        <v>52500</v>
      </c>
      <c r="AM194" s="30"/>
      <c r="AN194" s="30"/>
      <c r="AO194" s="30"/>
      <c r="AP194" s="39"/>
      <c r="AT194" s="9" t="s">
        <v>233</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55000</v>
      </c>
      <c r="T195" s="30"/>
      <c r="U195" s="30"/>
      <c r="V195" s="30"/>
      <c r="W195" s="39"/>
      <c r="AI195" s="38"/>
      <c r="AJ195" s="30"/>
      <c r="AK195" s="30"/>
      <c r="AL195" s="224"/>
      <c r="AM195" s="30"/>
      <c r="AN195" s="30"/>
      <c r="AO195" s="30"/>
      <c r="AP195" s="39"/>
      <c r="AT195" s="9" t="s">
        <v>234</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4/21/2015 - 3/27/2016Anderson</v>
      </c>
      <c r="P196" s="38"/>
      <c r="Q196" s="30"/>
      <c r="R196" s="30"/>
      <c r="S196" s="307">
        <f>VLOOKUP(N196,'2015 MTSP Limits'!A4:D257,E134+3,FALSE)</f>
        <v>55000</v>
      </c>
      <c r="T196" s="30"/>
      <c r="U196" s="30"/>
      <c r="V196" s="30"/>
      <c r="W196" s="39"/>
      <c r="AI196" s="38"/>
      <c r="AJ196" s="30"/>
      <c r="AK196" s="30"/>
      <c r="AL196" s="225">
        <v>54100</v>
      </c>
      <c r="AM196" s="30"/>
      <c r="AN196" s="30"/>
      <c r="AO196" s="30"/>
      <c r="AP196" s="39"/>
      <c r="AT196" s="9" t="s">
        <v>235</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55000</v>
      </c>
      <c r="T197" s="30"/>
      <c r="U197" s="30"/>
      <c r="V197" s="30"/>
      <c r="W197" s="39"/>
      <c r="AI197" s="38"/>
      <c r="AJ197" s="30"/>
      <c r="AK197" s="30"/>
      <c r="AL197" s="224"/>
      <c r="AM197" s="30"/>
      <c r="AN197" s="30"/>
      <c r="AO197" s="30"/>
      <c r="AP197" s="39"/>
      <c r="AT197" s="9" t="s">
        <v>23</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5/13/2016 - 4/13/2017Anderson</v>
      </c>
      <c r="P198" s="38"/>
      <c r="Q198" s="30"/>
      <c r="R198" s="30"/>
      <c r="S198" s="307">
        <f>VLOOKUP(N198,MTSP2016!A4:D257,E134+3,FALSE)</f>
        <v>53500</v>
      </c>
      <c r="T198" s="30"/>
      <c r="U198" s="30"/>
      <c r="V198" s="30"/>
      <c r="W198" s="39"/>
      <c r="AI198" s="38"/>
      <c r="AJ198" s="30"/>
      <c r="AK198" s="30"/>
      <c r="AL198" s="225">
        <v>53300</v>
      </c>
      <c r="AM198" s="30"/>
      <c r="AN198" s="30"/>
      <c r="AO198" s="30"/>
      <c r="AP198" s="39"/>
      <c r="AT198" s="9" t="s">
        <v>236</v>
      </c>
      <c r="AW198" s="292"/>
      <c r="AX198" s="292"/>
      <c r="AY198" s="287" t="s">
        <v>1230</v>
      </c>
      <c r="AZ198" s="217" t="s">
        <v>1180</v>
      </c>
      <c r="BA198" s="285" t="s">
        <v>1522</v>
      </c>
      <c r="BB198" s="285" t="s">
        <v>1267</v>
      </c>
      <c r="BC198" s="285" t="s">
        <v>1547</v>
      </c>
      <c r="BD198" s="291" t="s">
        <v>1120</v>
      </c>
      <c r="BE198" s="291" t="s">
        <v>2479</v>
      </c>
      <c r="BF198" s="285" t="s">
        <v>3021</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56000</v>
      </c>
      <c r="T199" s="30"/>
      <c r="U199" s="30"/>
      <c r="V199" s="30"/>
      <c r="W199" s="39"/>
      <c r="AI199" s="38"/>
      <c r="AJ199" s="30"/>
      <c r="AK199" s="30"/>
      <c r="AL199" s="224"/>
      <c r="AM199" s="30"/>
      <c r="AN199" s="30"/>
      <c r="AO199" s="30"/>
      <c r="AP199" s="39"/>
      <c r="AT199" s="9" t="s">
        <v>237</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5/30/2017 - 3/31/2018Anderson</v>
      </c>
      <c r="P200" s="38"/>
      <c r="Q200" s="30"/>
      <c r="R200" s="30"/>
      <c r="S200" s="307">
        <f>VLOOKUP($N200,MTSP2017!A4:D257,E134+3,FALSE)</f>
        <v>56000</v>
      </c>
      <c r="T200" s="30"/>
      <c r="U200" s="30"/>
      <c r="V200" s="30"/>
      <c r="W200" s="39"/>
      <c r="AI200" s="38"/>
      <c r="AJ200" s="30"/>
      <c r="AK200" s="30"/>
      <c r="AL200" s="225">
        <v>55200</v>
      </c>
      <c r="AM200" s="30"/>
      <c r="AN200" s="30"/>
      <c r="AO200" s="30"/>
      <c r="AP200" s="39"/>
      <c r="AT200" s="9" t="s">
        <v>24</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56000</v>
      </c>
      <c r="T201" s="30"/>
      <c r="U201" s="30"/>
      <c r="V201" s="30"/>
      <c r="W201" s="39"/>
      <c r="AI201" s="38"/>
      <c r="AJ201" s="30"/>
      <c r="AK201" s="30"/>
      <c r="AL201" s="224"/>
      <c r="AM201" s="30"/>
      <c r="AN201" s="30"/>
      <c r="AO201" s="30"/>
      <c r="AP201" s="39"/>
      <c r="AT201" s="9" t="s">
        <v>238</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5/17/2018 - 4/23/2019Anderson</v>
      </c>
      <c r="P202" s="38"/>
      <c r="Q202" s="30"/>
      <c r="R202" s="30"/>
      <c r="S202" s="307">
        <f>INDEX(MTSP2018!D3:D257,MATCH('Income-Rent Tool'!N202,MTSP2018!A3:A257,0))</f>
        <v>53700</v>
      </c>
      <c r="T202" s="30"/>
      <c r="U202" s="30"/>
      <c r="V202" s="30"/>
      <c r="W202" s="39"/>
      <c r="AI202" s="38"/>
      <c r="AJ202" s="30"/>
      <c r="AK202" s="30"/>
      <c r="AL202" s="225">
        <v>58400</v>
      </c>
      <c r="AM202" s="30"/>
      <c r="AN202" s="30"/>
      <c r="AO202" s="30"/>
      <c r="AP202" s="39"/>
      <c r="AT202" s="9" t="s">
        <v>239</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55700</v>
      </c>
      <c r="T203" s="30"/>
      <c r="U203" s="30"/>
      <c r="V203" s="30"/>
      <c r="W203" s="39"/>
      <c r="AI203" s="38"/>
      <c r="AJ203" s="30"/>
      <c r="AK203" s="30"/>
      <c r="AL203" s="224"/>
      <c r="AM203" s="30"/>
      <c r="AN203" s="30"/>
      <c r="AO203" s="30"/>
      <c r="AP203" s="39"/>
      <c r="AT203" s="9" t="s">
        <v>240</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6/9/2019Anderson</v>
      </c>
      <c r="P204" s="40"/>
      <c r="Q204" s="43"/>
      <c r="R204" s="43"/>
      <c r="S204" s="309">
        <f>INDEX(MTSP2019!D3:D257,MATCH('Income-Rent Tool'!N204,MTSP2019!A3:A257,0))</f>
        <v>55700</v>
      </c>
      <c r="T204" s="43"/>
      <c r="U204" s="43"/>
      <c r="V204" s="43"/>
      <c r="W204" s="41"/>
      <c r="AI204" s="40"/>
      <c r="AJ204" s="43"/>
      <c r="AK204" s="43"/>
      <c r="AL204" s="310">
        <v>60600</v>
      </c>
      <c r="AM204" s="43"/>
      <c r="AN204" s="43"/>
      <c r="AO204" s="43"/>
      <c r="AP204" s="41"/>
      <c r="AT204" s="9" t="s">
        <v>241</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242</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243</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36</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11900</v>
      </c>
      <c r="F208" s="65">
        <f>+VLOOKUP($N208,'HOME 2-25-2013'!$A$1:$BH$256,4+F$207,FALSE)</f>
        <v>13600</v>
      </c>
      <c r="G208" s="65">
        <f>+VLOOKUP($N208,'HOME 2-25-2013'!$A$1:$BH$256,4+G$207,FALSE)</f>
        <v>15300</v>
      </c>
      <c r="H208" s="65">
        <f>+VLOOKUP($N208,'HOME 2-25-2013'!$A$1:$BH$256,4+H$207,FALSE)</f>
        <v>16950</v>
      </c>
      <c r="I208" s="65">
        <f>+VLOOKUP($N208,'HOME 2-25-2013'!$A$1:$BH$256,4+I$207,FALSE)</f>
        <v>18350</v>
      </c>
      <c r="J208" s="65">
        <f>+VLOOKUP($N208,'HOME 2-25-2013'!$A$1:$BH$256,4+J$207,FALSE)</f>
        <v>19700</v>
      </c>
      <c r="K208" s="65">
        <f>+VLOOKUP($N208,'HOME 2-25-2013'!$A$1:$BH$256,4+K$207,FALSE)</f>
        <v>21050</v>
      </c>
      <c r="L208" s="65">
        <f>+VLOOKUP($N208,'HOME 2-25-2013'!$A$1:$BH$256,4+L$207,FALSE)</f>
        <v>22400</v>
      </c>
      <c r="M208" s="111"/>
      <c r="N208" s="98" t="str">
        <f t="shared" ref="N208:N213" si="250">+B$11</f>
        <v>Anderson</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49</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15840</v>
      </c>
      <c r="F209" s="65">
        <f t="shared" ref="F209:L209" si="251">0.8*F210</f>
        <v>18080</v>
      </c>
      <c r="G209" s="65">
        <f t="shared" si="251"/>
        <v>20360</v>
      </c>
      <c r="H209" s="65">
        <f t="shared" si="251"/>
        <v>22600</v>
      </c>
      <c r="I209" s="65">
        <f t="shared" si="251"/>
        <v>24440</v>
      </c>
      <c r="J209" s="65">
        <f t="shared" si="251"/>
        <v>26240</v>
      </c>
      <c r="K209" s="65">
        <f t="shared" si="251"/>
        <v>28040</v>
      </c>
      <c r="L209" s="65">
        <f t="shared" si="251"/>
        <v>29840</v>
      </c>
      <c r="M209" s="111"/>
      <c r="N209" s="98" t="str">
        <f t="shared" si="250"/>
        <v>Anderson</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244</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19800</v>
      </c>
      <c r="F210" s="65">
        <f>+VLOOKUP($N209,'HOME 2-25-2013'!$A$1:$BH$256,12+F$207,FALSE)</f>
        <v>22600</v>
      </c>
      <c r="G210" s="65">
        <f>+VLOOKUP($N209,'HOME 2-25-2013'!$A$1:$BH$256,12+G$207,FALSE)</f>
        <v>25450</v>
      </c>
      <c r="H210" s="65">
        <f>+VLOOKUP($N209,'HOME 2-25-2013'!$A$1:$BH$256,12+H$207,FALSE)</f>
        <v>28250</v>
      </c>
      <c r="I210" s="65">
        <f>+VLOOKUP($N209,'HOME 2-25-2013'!$A$1:$BH$256,12+I$207,FALSE)</f>
        <v>30550</v>
      </c>
      <c r="J210" s="65">
        <f>+VLOOKUP($N209,'HOME 2-25-2013'!$A$1:$BH$256,12+J$207,FALSE)</f>
        <v>32800</v>
      </c>
      <c r="K210" s="65">
        <f>+VLOOKUP($N209,'HOME 2-25-2013'!$A$1:$BH$256,12+K$207,FALSE)</f>
        <v>35050</v>
      </c>
      <c r="L210" s="65">
        <f>+VLOOKUP($N209,'HOME 2-25-2013'!$A$1:$BH$256,12+L$207,FALSE)</f>
        <v>37300</v>
      </c>
      <c r="M210" s="111"/>
      <c r="N210" s="98" t="str">
        <f t="shared" si="250"/>
        <v>Anderson</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245</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23760</v>
      </c>
      <c r="F211" s="65">
        <f>+VLOOKUP($N210,'HOME 2-25-2013'!$A$1:$BH$256,20+F$207,FALSE)</f>
        <v>27120</v>
      </c>
      <c r="G211" s="65">
        <f>+VLOOKUP($N210,'HOME 2-25-2013'!$A$1:$BH$256,20+G$207,FALSE)</f>
        <v>30540</v>
      </c>
      <c r="H211" s="65">
        <f>+VLOOKUP($N210,'HOME 2-25-2013'!$A$1:$BH$256,20+H$207,FALSE)</f>
        <v>33900</v>
      </c>
      <c r="I211" s="65">
        <f>+VLOOKUP($N210,'HOME 2-25-2013'!$A$1:$BH$256,20+I$207,FALSE)</f>
        <v>36660</v>
      </c>
      <c r="J211" s="65">
        <f>+VLOOKUP($N210,'HOME 2-25-2013'!$A$1:$BH$256,20+J$207,FALSE)</f>
        <v>39360</v>
      </c>
      <c r="K211" s="65">
        <f>+VLOOKUP($N210,'HOME 2-25-2013'!$A$1:$BH$256,20+K$207,FALSE)</f>
        <v>42060</v>
      </c>
      <c r="L211" s="65">
        <f>+VLOOKUP($N210,'HOME 2-25-2013'!$A$1:$BH$256,20+L$207,FALSE)</f>
        <v>44760</v>
      </c>
      <c r="M211" s="111"/>
      <c r="N211" s="98" t="str">
        <f t="shared" si="250"/>
        <v>Anderson</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246</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31650</v>
      </c>
      <c r="F212" s="68">
        <f>+VLOOKUP($N211,'HOME 2-25-2013'!$A$1:$BH$256,28+F$207,FALSE)</f>
        <v>36200</v>
      </c>
      <c r="G212" s="68">
        <f>+VLOOKUP($N211,'HOME 2-25-2013'!$A$1:$BH$256,28+G$207,FALSE)</f>
        <v>40700</v>
      </c>
      <c r="H212" s="68">
        <f>+VLOOKUP($N211,'HOME 2-25-2013'!$A$1:$BH$256,28+H$207,FALSE)</f>
        <v>45200</v>
      </c>
      <c r="I212" s="68">
        <f>+VLOOKUP($N211,'HOME 2-25-2013'!$A$1:$BH$256,28+I$207,FALSE)</f>
        <v>48850</v>
      </c>
      <c r="J212" s="68">
        <f>+VLOOKUP($N211,'HOME 2-25-2013'!$A$1:$BH$256,28+J$207,FALSE)</f>
        <v>52450</v>
      </c>
      <c r="K212" s="68">
        <f>+VLOOKUP($N211,'HOME 2-25-2013'!$A$1:$BH$256,28+K$207,FALSE)</f>
        <v>56050</v>
      </c>
      <c r="L212" s="148">
        <f>+VLOOKUP($N211,'HOME 2-25-2013'!$A$1:$BH$256,28+L$207,FALSE)</f>
        <v>59700</v>
      </c>
      <c r="M212" s="111"/>
      <c r="N212" s="98" t="str">
        <f t="shared" si="250"/>
        <v>Anderson</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247</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Anderson</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58</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39</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248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249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297</v>
      </c>
      <c r="F217" s="65">
        <f>ROUNDDOWN(AVERAGE(E208,F208)/12*0.3,0)</f>
        <v>318</v>
      </c>
      <c r="G217" s="65">
        <f>ROUNDDOWN(0.3*G208/12,0)</f>
        <v>382</v>
      </c>
      <c r="H217" s="65">
        <f>ROUNDDOWN(AVERAGE(I208,H208)/12*0.3,0)</f>
        <v>441</v>
      </c>
      <c r="I217" s="65">
        <f>ROUNDDOWN(0.3*J208/12,0)</f>
        <v>492</v>
      </c>
      <c r="J217" s="65">
        <f>ROUNDDOWN(AVERAGE(K208,L208)/12*0.3,0)</f>
        <v>543</v>
      </c>
      <c r="K217" s="53"/>
      <c r="L217" s="54"/>
      <c r="M217" s="111"/>
      <c r="N217" s="98" t="str">
        <f>+B$11</f>
        <v>Anderson</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216" t="s">
        <v>250</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396</v>
      </c>
      <c r="F218" s="65">
        <f>ROUNDDOWN(AVERAGE(E209,F209)/12*0.3,0)</f>
        <v>424</v>
      </c>
      <c r="G218" s="65">
        <f>ROUNDDOWN(0.3*G209/12,0)</f>
        <v>509</v>
      </c>
      <c r="H218" s="65">
        <f>ROUNDDOWN(AVERAGE(I209,H209)/12*0.3,0)</f>
        <v>588</v>
      </c>
      <c r="I218" s="65">
        <f>ROUNDDOWN(0.3*J209/12,0)</f>
        <v>656</v>
      </c>
      <c r="J218" s="65">
        <f>ROUNDDOWN(AVERAGE(K209,L209)/12*0.3,0)</f>
        <v>723</v>
      </c>
      <c r="K218" s="44"/>
      <c r="L218" s="45"/>
      <c r="M218" s="111"/>
      <c r="N218" s="98" t="str">
        <f>+B$11</f>
        <v>Anderson</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251</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490</v>
      </c>
      <c r="F219" s="65">
        <f>+VLOOKUP($N$226,'2017 HOME rent 6-15-2017'!$A$2:$P$256,6+$E$223,FALSE)</f>
        <v>525</v>
      </c>
      <c r="G219" s="65">
        <f>+VLOOKUP($N$226,'2017 HOME rent 6-15-2017'!$A$2:$P$256,7+$E$223,FALSE)</f>
        <v>630</v>
      </c>
      <c r="H219" s="65">
        <f>+VLOOKUP($N$226,'2017 HOME rent 6-15-2017'!$A$2:$P$256,8+$E$223,FALSE)</f>
        <v>728</v>
      </c>
      <c r="I219" s="65">
        <f>+VLOOKUP($N$226,'2017 HOME rent 6-15-2017'!$A$2:$P$256,9+$E$223,FALSE)</f>
        <v>812</v>
      </c>
      <c r="J219" s="65">
        <f>+VLOOKUP($N$226,'2017 HOME rent 6-15-2017'!$A$2:$P$256,10+$E$223,FALSE)</f>
        <v>896</v>
      </c>
      <c r="K219" s="44"/>
      <c r="L219" s="45"/>
      <c r="M219" s="111"/>
      <c r="N219" s="98" t="str">
        <f>+B$11</f>
        <v>Anderson</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9" t="s">
        <v>252</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550</v>
      </c>
      <c r="F220" s="65">
        <f>+VLOOKUP($N$226,'2017 HOME rent 6-15-2017'!$A$2:$P$256,12+$E$223,FALSE)</f>
        <v>613</v>
      </c>
      <c r="G220" s="65">
        <f>+VLOOKUP($N$226,'2017 HOME rent 6-15-2017'!$A$2:$P$256,13+$E$223,FALSE)</f>
        <v>723</v>
      </c>
      <c r="H220" s="65">
        <f>+VLOOKUP($N$226,'2017 HOME rent 6-15-2017'!$A$2:$P$256,14+$E$223,FALSE)</f>
        <v>949</v>
      </c>
      <c r="I220" s="65">
        <f>+VLOOKUP($N$226,'2017 HOME rent 6-15-2017'!$A$2:$P$256,15+$E$223,FALSE)</f>
        <v>1043</v>
      </c>
      <c r="J220" s="65">
        <f>+VLOOKUP($N$226,'2017 HOME rent 6-15-2017'!$A$2:$P$256,16+$E$223,FALSE)</f>
        <v>1131</v>
      </c>
      <c r="K220" s="44"/>
      <c r="L220" s="45"/>
      <c r="M220" s="111"/>
      <c r="N220" s="98" t="str">
        <f>+B$11</f>
        <v>Anderson</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253</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Anderson</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86</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254</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255</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297</v>
      </c>
      <c r="F224" s="65">
        <f>ROUNDDOWN(AVERAGE(E208,F208)/12*0.3,0)</f>
        <v>318</v>
      </c>
      <c r="G224" s="65">
        <f>ROUNDDOWN(0.3*G208/12,0)</f>
        <v>382</v>
      </c>
      <c r="H224" s="65">
        <f>ROUNDDOWN(AVERAGE(I208,H208)/12*0.3,0)</f>
        <v>441</v>
      </c>
      <c r="I224" s="65">
        <f>ROUNDDOWN(0.3*J208/12,0)</f>
        <v>492</v>
      </c>
      <c r="J224" s="65">
        <f>ROUNDDOWN(AVERAGE(K208,L208)/12*0.3,0)</f>
        <v>543</v>
      </c>
      <c r="K224" s="53"/>
      <c r="L224" s="54"/>
      <c r="M224" s="111"/>
      <c r="N224" s="98" t="str">
        <f>+B$11</f>
        <v>Anderson</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256</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396</v>
      </c>
      <c r="F225" s="65">
        <f>ROUNDDOWN(AVERAGE(E209,F209)/12*0.3,0)</f>
        <v>424</v>
      </c>
      <c r="G225" s="65">
        <f>ROUNDDOWN(0.3*G209/12,0)</f>
        <v>509</v>
      </c>
      <c r="H225" s="65">
        <f>ROUNDDOWN(AVERAGE(I209,H209)/12*0.3,0)</f>
        <v>588</v>
      </c>
      <c r="I225" s="65">
        <f>ROUNDDOWN(0.3*J209/12,0)</f>
        <v>656</v>
      </c>
      <c r="J225" s="65">
        <f>ROUNDDOWN(AVERAGE(K209,L209)/12*0.3,0)</f>
        <v>723</v>
      </c>
      <c r="K225" s="44"/>
      <c r="L225" s="45"/>
      <c r="M225" s="111"/>
      <c r="N225" s="98" t="str">
        <f>+B$11</f>
        <v>Anderson</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257</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495</v>
      </c>
      <c r="F226" s="65">
        <f>+VLOOKUP($N$226,'2018 HOME rent 6-01-2018'!$A$2:$P$256,6+$E$223,FALSE)</f>
        <v>530</v>
      </c>
      <c r="G226" s="65">
        <f>+VLOOKUP($N$226,'2018 HOME rent 6-01-2018'!$A$2:$P$256,7+$E$223,FALSE)</f>
        <v>636</v>
      </c>
      <c r="H226" s="65">
        <f>+VLOOKUP($N$226,'2018 HOME rent 6-01-2018'!$A$2:$P$256,8+$E$223,FALSE)</f>
        <v>735</v>
      </c>
      <c r="I226" s="65">
        <f>+VLOOKUP($N$226,'2018 HOME rent 6-01-2018'!$A$2:$P$256,9+$E$223,FALSE)</f>
        <v>820</v>
      </c>
      <c r="J226" s="65">
        <f>+VLOOKUP($N$226,'2018 HOME rent 6-01-2018'!$A$2:$P$256,10+$E$223,FALSE)</f>
        <v>904</v>
      </c>
      <c r="K226" s="44"/>
      <c r="L226" s="45"/>
      <c r="M226" s="111"/>
      <c r="N226" s="98" t="str">
        <f>+B$11</f>
        <v>Anderson</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258</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554</v>
      </c>
      <c r="F227" s="65">
        <f>+VLOOKUP($N$226,'2018 HOME rent 6-01-2018'!$A$2:$P$256,12+$E$223,FALSE)</f>
        <v>625</v>
      </c>
      <c r="G227" s="65">
        <f>+VLOOKUP($N$226,'2018 HOME rent 6-01-2018'!$A$2:$P$256,13+$E$223,FALSE)</f>
        <v>733</v>
      </c>
      <c r="H227" s="65">
        <f>+VLOOKUP($N$226,'2018 HOME rent 6-01-2018'!$A$2:$P$256,14+$E$223,FALSE)</f>
        <v>952</v>
      </c>
      <c r="I227" s="65">
        <f>+VLOOKUP($N$226,'2018 HOME rent 6-01-2018'!$A$2:$P$256,15+$E$223,FALSE)</f>
        <v>1043</v>
      </c>
      <c r="J227" s="65">
        <f>+VLOOKUP($N$226,'2018 HOME rent 6-01-2018'!$A$2:$P$256,16+$E$223,FALSE)</f>
        <v>1131</v>
      </c>
      <c r="K227" s="44"/>
      <c r="L227" s="45"/>
      <c r="M227" s="111"/>
      <c r="N227" s="98" t="str">
        <f>+B$11</f>
        <v>Anderson</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259</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Anderson</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260</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50</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19</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261</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11880</v>
      </c>
      <c r="F232" s="132">
        <f t="shared" ref="F232:L232" si="252">+F234*0.6</f>
        <v>13560</v>
      </c>
      <c r="G232" s="132">
        <f t="shared" si="252"/>
        <v>15270</v>
      </c>
      <c r="H232" s="132">
        <f t="shared" si="252"/>
        <v>16950</v>
      </c>
      <c r="I232" s="132">
        <f t="shared" si="252"/>
        <v>18330</v>
      </c>
      <c r="J232" s="132">
        <f t="shared" si="252"/>
        <v>19680</v>
      </c>
      <c r="K232" s="132">
        <f t="shared" si="252"/>
        <v>21030</v>
      </c>
      <c r="L232" s="132">
        <f t="shared" si="252"/>
        <v>22380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262</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15840</v>
      </c>
      <c r="F233" s="132">
        <f t="shared" ref="F233:L233" si="253">+F234*0.8</f>
        <v>18080</v>
      </c>
      <c r="G233" s="132">
        <f t="shared" si="253"/>
        <v>20360</v>
      </c>
      <c r="H233" s="132">
        <f t="shared" si="253"/>
        <v>22600</v>
      </c>
      <c r="I233" s="132">
        <f t="shared" si="253"/>
        <v>24440</v>
      </c>
      <c r="J233" s="132">
        <f t="shared" si="253"/>
        <v>26240</v>
      </c>
      <c r="K233" s="132">
        <f t="shared" si="253"/>
        <v>28040</v>
      </c>
      <c r="L233" s="132">
        <f t="shared" si="253"/>
        <v>29840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263</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19800</v>
      </c>
      <c r="F234" s="132">
        <f>+VLOOKUP($N234,'NSP12-I'!$A$3:$R$257,2+F$231)</f>
        <v>22600</v>
      </c>
      <c r="G234" s="132">
        <f>+VLOOKUP($N234,'NSP12-I'!$A$3:$R$257,2+G$231)</f>
        <v>25450</v>
      </c>
      <c r="H234" s="132">
        <f>+VLOOKUP($N234,'NSP12-I'!$A$3:$R$257,2+H$231)</f>
        <v>28250</v>
      </c>
      <c r="I234" s="132">
        <f>+VLOOKUP($N234,'NSP12-I'!$A$3:$R$257,2+I$231)</f>
        <v>30550</v>
      </c>
      <c r="J234" s="132">
        <f>+VLOOKUP($N234,'NSP12-I'!$A$3:$R$257,2+J$231)</f>
        <v>32800</v>
      </c>
      <c r="K234" s="132">
        <f>+VLOOKUP($N234,'NSP12-I'!$A$3:$R$257,2+K$231)</f>
        <v>35050</v>
      </c>
      <c r="L234" s="132">
        <f>+VLOOKUP($N234,'NSP12-I'!$A$3:$R$257,2+L$231)</f>
        <v>37300</v>
      </c>
      <c r="M234" s="111"/>
      <c r="N234" s="98" t="str">
        <f>+CONCATENATE($B$11)</f>
        <v>Anderson</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264</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23760</v>
      </c>
      <c r="F235" s="132">
        <f t="shared" ref="F235:L235" si="254">+F234*1.2</f>
        <v>27120</v>
      </c>
      <c r="G235" s="132">
        <f t="shared" si="254"/>
        <v>30540</v>
      </c>
      <c r="H235" s="132">
        <f t="shared" si="254"/>
        <v>33900</v>
      </c>
      <c r="I235" s="132">
        <f t="shared" si="254"/>
        <v>36660</v>
      </c>
      <c r="J235" s="132">
        <f t="shared" si="254"/>
        <v>39360</v>
      </c>
      <c r="K235" s="132">
        <f t="shared" si="254"/>
        <v>42060</v>
      </c>
      <c r="L235" s="132">
        <f t="shared" si="254"/>
        <v>44760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76</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31680</v>
      </c>
      <c r="F236" s="135">
        <f t="shared" ref="F236:L236" si="255">+F234*1.6</f>
        <v>36160</v>
      </c>
      <c r="G236" s="135">
        <f t="shared" si="255"/>
        <v>40720</v>
      </c>
      <c r="H236" s="135">
        <f t="shared" si="255"/>
        <v>45200</v>
      </c>
      <c r="I236" s="135">
        <f t="shared" si="255"/>
        <v>48880</v>
      </c>
      <c r="J236" s="135">
        <f t="shared" si="255"/>
        <v>52480</v>
      </c>
      <c r="K236" s="135">
        <f t="shared" si="255"/>
        <v>56080</v>
      </c>
      <c r="L236" s="135">
        <f t="shared" si="255"/>
        <v>59680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28</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47450</v>
      </c>
      <c r="F237" s="135">
        <f>+VLOOKUP($N237,'NSP12-I'!$A$3:$R$257,10+F$231)</f>
        <v>54250</v>
      </c>
      <c r="G237" s="135">
        <f>+VLOOKUP($N237,'NSP12-I'!$A$3:$R$257,10+G$231)</f>
        <v>61000</v>
      </c>
      <c r="H237" s="135">
        <f>+VLOOKUP($N237,'NSP12-I'!$A$3:$R$257,10+H$231)</f>
        <v>67800</v>
      </c>
      <c r="I237" s="135">
        <f>+VLOOKUP($N237,'NSP12-I'!$A$3:$R$257,10+I$231)</f>
        <v>73200</v>
      </c>
      <c r="J237" s="135">
        <f>+VLOOKUP($N237,'NSP12-I'!$A$3:$R$257,10+J$231)</f>
        <v>78650</v>
      </c>
      <c r="K237" s="135">
        <f>+VLOOKUP($N237,'NSP12-I'!$A$3:$R$257,10+K$231)</f>
        <v>84050</v>
      </c>
      <c r="L237" s="135">
        <f>+VLOOKUP($N237,'NSP12-I'!$A$3:$R$257,10+L$231)</f>
        <v>89500</v>
      </c>
      <c r="M237" s="113"/>
      <c r="N237" s="114" t="str">
        <f>+CONCATENATE($B$11)</f>
        <v>Anderson</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265</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85</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67</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266</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267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269</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270</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87</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271</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59</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272</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273</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6070</v>
      </c>
      <c r="F249" s="265">
        <f t="shared" ref="F249:L249" si="257">ROUNDUP(F250/2,0)</f>
        <v>8230</v>
      </c>
      <c r="G249" s="265">
        <f t="shared" si="257"/>
        <v>10390</v>
      </c>
      <c r="H249" s="265">
        <f t="shared" si="257"/>
        <v>12550</v>
      </c>
      <c r="I249" s="265">
        <f t="shared" si="257"/>
        <v>14710</v>
      </c>
      <c r="J249" s="265">
        <f t="shared" si="257"/>
        <v>16870</v>
      </c>
      <c r="K249" s="265">
        <f t="shared" si="257"/>
        <v>19030</v>
      </c>
      <c r="L249" s="265">
        <f t="shared" si="257"/>
        <v>21190</v>
      </c>
      <c r="AT249" s="9" t="s">
        <v>63</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12140</v>
      </c>
      <c r="F250" s="251">
        <f>INDEX(NHTF2018!E4:E259,MATCH($N$250, NHTF2018!$A$4:$A$259, 0))</f>
        <v>16460</v>
      </c>
      <c r="G250" s="251">
        <f>INDEX(NHTF2018!F4:F259,MATCH($N$250, NHTF2018!$A$4:$A$259, 0))</f>
        <v>20780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Anderson</v>
      </c>
      <c r="AT250" s="9" t="s">
        <v>274</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275</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94</v>
      </c>
      <c r="AW252" s="292"/>
      <c r="AX252" s="292"/>
      <c r="AY252" s="287" t="s">
        <v>1276</v>
      </c>
      <c r="AZ252" s="217" t="s">
        <v>1214</v>
      </c>
      <c r="BA252" s="285" t="s">
        <v>1468</v>
      </c>
      <c r="BB252" s="285" t="s">
        <v>1319</v>
      </c>
      <c r="BC252" s="285" t="s">
        <v>1320</v>
      </c>
      <c r="BD252" s="291" t="s">
        <v>2509</v>
      </c>
      <c r="BE252" s="291" t="s">
        <v>2507</v>
      </c>
      <c r="BF252" s="285" t="s">
        <v>3022</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276</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152</v>
      </c>
      <c r="F254" s="265">
        <f t="shared" ref="F254:J254" si="258">ROUNDUP(F255/2,0)</f>
        <v>179</v>
      </c>
      <c r="G254" s="265">
        <f t="shared" si="258"/>
        <v>260</v>
      </c>
      <c r="H254" s="265">
        <f t="shared" si="258"/>
        <v>341</v>
      </c>
      <c r="I254" s="265">
        <f t="shared" si="258"/>
        <v>422</v>
      </c>
      <c r="J254" s="265">
        <f t="shared" si="258"/>
        <v>503</v>
      </c>
      <c r="K254" s="247"/>
      <c r="L254" s="253"/>
      <c r="AT254" s="9" t="s">
        <v>277</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303</v>
      </c>
      <c r="F255" s="251">
        <f>INDEX(NHTF2018!Q4:Q259,MATCH($N$250, NHTF2018!$A$4:$A$259, 0))</f>
        <v>357</v>
      </c>
      <c r="G255" s="251">
        <f>INDEX(NHTF2018!R4:R259,MATCH($N$250, NHTF2018!$A$4:$A$259, 0))</f>
        <v>519</v>
      </c>
      <c r="H255" s="251">
        <f>INDEX(NHTF2018!S4:S259,MATCH($N$250, NHTF2018!$A$4:$A$259, 0))</f>
        <v>681</v>
      </c>
      <c r="I255" s="251">
        <f>INDEX(NHTF2018!T4:T259,MATCH($N$250, NHTF2018!$A$4:$A$259, 0))</f>
        <v>843</v>
      </c>
      <c r="J255" s="251">
        <f>INDEX(NHTF2018!U4:U259,MATCH($N$250, NHTF2018!$A$4:$A$259, 0))</f>
        <v>1005</v>
      </c>
      <c r="K255" s="246"/>
      <c r="L255" s="253"/>
      <c r="N255" s="98" t="str">
        <f>+CONCATENATE($B$11)</f>
        <v>Anderson</v>
      </c>
      <c r="AT255" s="9" t="s">
        <v>29</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82</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278</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279</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280</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281</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282</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283</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284</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t="14.25" hidden="1" customHeight="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3023</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3024</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3025</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3026</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3027</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3028</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3029</v>
      </c>
    </row>
    <row r="414" spans="49:58">
      <c r="AW414" s="285"/>
      <c r="AX414" s="285"/>
      <c r="AY414" s="285"/>
      <c r="AZ414" s="217" t="s">
        <v>1294</v>
      </c>
      <c r="BA414" s="285" t="s">
        <v>1307</v>
      </c>
      <c r="BB414" s="285"/>
      <c r="BC414" s="285"/>
      <c r="BD414" s="291" t="s">
        <v>1180</v>
      </c>
      <c r="BE414" s="291" t="s">
        <v>167</v>
      </c>
      <c r="BF414" s="285" t="s">
        <v>3030</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3031</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3032</v>
      </c>
    </row>
    <row r="449" spans="49:58">
      <c r="AW449" s="285"/>
      <c r="AX449" s="285"/>
      <c r="AY449" s="285"/>
      <c r="AZ449" s="217" t="s">
        <v>1313</v>
      </c>
      <c r="BA449" s="285" t="s">
        <v>1332</v>
      </c>
      <c r="BB449" s="285"/>
      <c r="BC449" s="285"/>
      <c r="BD449" s="291" t="s">
        <v>1522</v>
      </c>
      <c r="BE449" s="291" t="s">
        <v>1191</v>
      </c>
      <c r="BF449" s="285" t="s">
        <v>3033</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3034</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3035</v>
      </c>
    </row>
    <row r="490" spans="49:58">
      <c r="AW490" s="285"/>
      <c r="AX490" s="285"/>
      <c r="AY490" s="285"/>
      <c r="AZ490" s="217" t="s">
        <v>1499</v>
      </c>
      <c r="BA490" s="285" t="s">
        <v>1503</v>
      </c>
      <c r="BB490" s="285"/>
      <c r="BC490" s="285"/>
      <c r="BD490" s="291" t="s">
        <v>1205</v>
      </c>
      <c r="BE490" s="291" t="s">
        <v>2623</v>
      </c>
      <c r="BF490" s="285" t="s">
        <v>3036</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3037</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3038</v>
      </c>
    </row>
    <row r="504" spans="49:58">
      <c r="AW504" s="285"/>
      <c r="AX504" s="285"/>
      <c r="AY504" s="285"/>
      <c r="AZ504" s="217" t="s">
        <v>1339</v>
      </c>
      <c r="BA504" s="285"/>
      <c r="BB504" s="285"/>
      <c r="BC504" s="285"/>
      <c r="BD504" s="291" t="s">
        <v>2631</v>
      </c>
      <c r="BE504" s="291" t="s">
        <v>2629</v>
      </c>
      <c r="BF504" s="285" t="s">
        <v>3039</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3040</v>
      </c>
    </row>
    <row r="510" spans="49:58">
      <c r="AW510" s="285"/>
      <c r="AX510" s="285"/>
      <c r="AY510" s="285"/>
      <c r="AZ510" s="217" t="s">
        <v>1344</v>
      </c>
      <c r="BA510" s="285"/>
      <c r="BB510" s="285"/>
      <c r="BC510" s="285"/>
      <c r="BD510" s="291" t="s">
        <v>1465</v>
      </c>
      <c r="BE510" s="291" t="s">
        <v>1209</v>
      </c>
      <c r="BF510" s="285" t="s">
        <v>3041</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3042</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3043</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3044</v>
      </c>
    </row>
    <row r="545" spans="49:58">
      <c r="AW545" s="285"/>
      <c r="AX545" s="285"/>
      <c r="AY545" s="285"/>
      <c r="AZ545" s="217"/>
      <c r="BA545" s="217"/>
      <c r="BB545" s="217"/>
      <c r="BC545" s="217"/>
      <c r="BD545" s="291" t="s">
        <v>2653</v>
      </c>
      <c r="BE545" s="291" t="s">
        <v>2648</v>
      </c>
      <c r="BF545" s="285" t="s">
        <v>3045</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3046</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3047</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3048</v>
      </c>
    </row>
    <row r="624" spans="49:58">
      <c r="AW624" s="294"/>
      <c r="AX624" s="294"/>
      <c r="AY624" s="294"/>
      <c r="AZ624" s="294"/>
      <c r="BA624" s="294"/>
      <c r="BB624" s="294"/>
      <c r="BC624" s="294"/>
      <c r="BD624" s="291" t="s">
        <v>2692</v>
      </c>
      <c r="BE624" s="291" t="s">
        <v>2687</v>
      </c>
      <c r="BF624" s="285" t="s">
        <v>3049</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3050</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3051</v>
      </c>
    </row>
    <row r="642" spans="49:58">
      <c r="AW642" s="294"/>
      <c r="AX642" s="294"/>
      <c r="AY642" s="294"/>
      <c r="AZ642" s="294"/>
      <c r="BA642" s="294"/>
      <c r="BB642" s="294"/>
      <c r="BC642" s="294"/>
      <c r="BD642" s="291" t="s">
        <v>1240</v>
      </c>
      <c r="BE642" s="291" t="s">
        <v>1474</v>
      </c>
      <c r="BF642" s="285" t="s">
        <v>3052</v>
      </c>
    </row>
    <row r="643" spans="49:58">
      <c r="AW643" s="294"/>
      <c r="AX643" s="294"/>
      <c r="AY643" s="294"/>
      <c r="AZ643" s="294"/>
      <c r="BA643" s="294"/>
      <c r="BB643" s="294"/>
      <c r="BC643" s="294"/>
      <c r="BD643" s="291" t="s">
        <v>1241</v>
      </c>
      <c r="BE643" s="291" t="s">
        <v>2697</v>
      </c>
      <c r="BF643" s="285" t="s">
        <v>3053</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3054</v>
      </c>
    </row>
    <row r="664" spans="49:58">
      <c r="AW664" s="294"/>
      <c r="AX664" s="294"/>
      <c r="AY664" s="294"/>
      <c r="AZ664" s="294"/>
      <c r="BA664" s="294"/>
      <c r="BB664" s="294"/>
      <c r="BC664" s="294"/>
      <c r="BD664" s="291" t="s">
        <v>2711</v>
      </c>
      <c r="BE664" s="291" t="s">
        <v>57</v>
      </c>
      <c r="BF664" s="285" t="s">
        <v>3055</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3056</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3057</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3058</v>
      </c>
    </row>
    <row r="722" spans="49:58">
      <c r="AW722" s="294"/>
      <c r="AX722" s="294"/>
      <c r="AY722" s="294"/>
      <c r="AZ722" s="294"/>
      <c r="BA722" s="294"/>
      <c r="BB722" s="294"/>
      <c r="BC722" s="294"/>
      <c r="BD722" s="291" t="s">
        <v>32</v>
      </c>
      <c r="BE722" s="291" t="s">
        <v>2742</v>
      </c>
      <c r="BF722" s="285" t="s">
        <v>3059</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3060</v>
      </c>
    </row>
    <row r="739" spans="49:58">
      <c r="AW739" s="294"/>
      <c r="AX739" s="294"/>
      <c r="AY739" s="294"/>
      <c r="AZ739" s="294"/>
      <c r="BA739" s="294"/>
      <c r="BB739" s="294"/>
      <c r="BC739" s="294"/>
      <c r="BD739" s="291" t="s">
        <v>1545</v>
      </c>
      <c r="BE739" s="291" t="s">
        <v>2749</v>
      </c>
      <c r="BF739" s="285" t="s">
        <v>3061</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3062</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3063</v>
      </c>
    </row>
    <row r="794" spans="49:58">
      <c r="AW794" s="294"/>
      <c r="AX794" s="294"/>
      <c r="AY794" s="294"/>
      <c r="AZ794" s="294"/>
      <c r="BA794" s="294"/>
      <c r="BB794" s="294"/>
      <c r="BC794" s="294"/>
      <c r="BD794" s="291" t="s">
        <v>2783</v>
      </c>
      <c r="BE794" s="291" t="s">
        <v>2778</v>
      </c>
      <c r="BF794" s="285" t="s">
        <v>3064</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3065</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3066</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3067</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3068</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3069</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3070</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3071</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3072</v>
      </c>
    </row>
    <row r="969" spans="49:58">
      <c r="AW969" s="294"/>
      <c r="AX969" s="294"/>
      <c r="AY969" s="294"/>
      <c r="AZ969" s="294"/>
      <c r="BA969" s="294"/>
      <c r="BB969" s="294"/>
      <c r="BC969" s="294"/>
      <c r="BD969" s="291" t="s">
        <v>2872</v>
      </c>
      <c r="BE969" s="291" t="s">
        <v>258</v>
      </c>
      <c r="BF969" s="285" t="s">
        <v>3073</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3074</v>
      </c>
    </row>
    <row r="976" spans="49:58">
      <c r="AW976" s="294"/>
      <c r="AX976" s="294"/>
      <c r="AY976" s="294"/>
      <c r="AZ976" s="294"/>
      <c r="BA976" s="294"/>
      <c r="BB976" s="294"/>
      <c r="BC976" s="294"/>
      <c r="BD976" s="291" t="s">
        <v>2875</v>
      </c>
      <c r="BE976" s="291" t="s">
        <v>2869</v>
      </c>
      <c r="BF976" s="285" t="s">
        <v>3075</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3076</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3077</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3078</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3079</v>
      </c>
    </row>
    <row r="1048" spans="49:58">
      <c r="AW1048" s="294"/>
      <c r="AX1048" s="294"/>
      <c r="AY1048" s="294"/>
      <c r="AZ1048" s="294"/>
      <c r="BA1048" s="294"/>
      <c r="BB1048" s="294"/>
      <c r="BC1048" s="294"/>
      <c r="BD1048" s="291" t="s">
        <v>1341</v>
      </c>
      <c r="BE1048" s="291" t="s">
        <v>2908</v>
      </c>
      <c r="BF1048" s="285" t="s">
        <v>3080</v>
      </c>
    </row>
    <row r="1049" spans="49:58">
      <c r="AW1049" s="294"/>
      <c r="AX1049" s="294"/>
      <c r="AY1049" s="294"/>
      <c r="AZ1049" s="294"/>
      <c r="BA1049" s="294"/>
      <c r="BB1049" s="294"/>
      <c r="BC1049" s="294"/>
      <c r="BD1049" s="291" t="s">
        <v>1342</v>
      </c>
      <c r="BE1049" s="291" t="s">
        <v>1337</v>
      </c>
      <c r="BF1049" s="285" t="s">
        <v>3081</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7dl51PxdKsbIW26+XfZXHZoHgGkmzIXc2E4ULMNOhy0YB/cXo5IvuOfbY4qpjEWdADfLscr8Tzm/dGr0ytiO3Q==" saltValue="ceLWDKvZtVcorllyjQSrIg=="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78">
    <cfRule type="duplicateValues" dxfId="1" priority="1"/>
  </conditionalFormatting>
  <conditionalFormatting sqref="AT9:AT77 AT79:AT263">
    <cfRule type="duplicateValues" dxfId="0" priority="875"/>
  </conditionalFormatting>
  <dataValidations xWindow="369" yWindow="583" count="10">
    <dataValidation type="list" allowBlank="1" showInputMessage="1" showErrorMessage="1" sqref="B29">
      <formula1>$AP$10:$AP$11</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$AU$10:$AU$32</formula1>
    </dataValidation>
    <dataValidation type="list" allowBlank="1" showInputMessage="1" showErrorMessage="1" promptTitle="Project PIS / LURA Date" prompt="Select the PIS Date for the Project. For  State HTF, select the LURA Date." sqref="B18">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$BF$10:$BF$1054</formula1>
    </dataValidation>
    <dataValidation type="list" allowBlank="1" showInputMessage="1" showErrorMessage="1" promptTitle="County" prompt="Enter the County in which the Project is located." sqref="B11">
      <formula1>$AT$10:$AT$263</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3" sqref="B3"/>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3088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ccampbel</cp:lastModifiedBy>
  <cp:lastPrinted>2018-12-10T14:06:44Z</cp:lastPrinted>
  <dcterms:created xsi:type="dcterms:W3CDTF">2011-06-01T13:01:36Z</dcterms:created>
  <dcterms:modified xsi:type="dcterms:W3CDTF">2019-05-22T15:32:05Z</dcterms:modified>
</cp:coreProperties>
</file>