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028"/>
  <workbookPr codeName="ThisWorkbook" autoCompressPictures="0"/>
  <workbookProtection workbookPassword="88EA" lockStructure="1"/>
  <bookViews>
    <workbookView xWindow="0" yWindow="0" windowWidth="25040" windowHeight="1560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c r="J235" i="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4" i="40"/>
  <c r="AB140" i="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T142" i="1"/>
  <c r="Q142" i="1"/>
  <c r="V120" i="1"/>
  <c r="V164" i="1"/>
  <c r="AC120" i="1"/>
  <c r="AC98" i="1"/>
  <c r="Z120" i="1"/>
  <c r="P120" i="1"/>
  <c r="S120" i="1"/>
  <c r="W120" i="1"/>
  <c r="W164" i="1"/>
  <c r="U120" i="1"/>
  <c r="U164" i="1"/>
  <c r="S142" i="1"/>
  <c r="Y120" i="1"/>
  <c r="Y98" i="1"/>
  <c r="AB142" i="1"/>
  <c r="S186" i="1"/>
  <c r="AA142" i="1"/>
  <c r="P142" i="1"/>
  <c r="AD120" i="1"/>
  <c r="AE120" i="1"/>
  <c r="Z142" i="1"/>
  <c r="AA120" i="1"/>
  <c r="AD142" i="1"/>
  <c r="R142" i="1"/>
  <c r="AE142" i="1"/>
  <c r="Q120" i="1"/>
  <c r="Q98" i="1"/>
  <c r="AF142" i="1"/>
  <c r="V142" i="1"/>
  <c r="R120" i="1"/>
  <c r="R98" i="1"/>
  <c r="Y142" i="1"/>
  <c r="U142" i="1"/>
  <c r="AB120" i="1"/>
  <c r="AB164" i="1"/>
  <c r="T120" i="1"/>
  <c r="T164" i="1"/>
  <c r="W142" i="1"/>
  <c r="AC142" i="1"/>
  <c r="AF120" i="1"/>
  <c r="AF76" i="1"/>
  <c r="U118" i="1"/>
  <c r="U74" i="1"/>
  <c r="S184" i="1"/>
  <c r="A184" i="27"/>
  <c r="AA140" i="1"/>
  <c r="A71" i="27"/>
  <c r="A39" i="27"/>
  <c r="AF118" i="1"/>
  <c r="AF162" i="1"/>
  <c r="AB118" i="1"/>
  <c r="AB162" i="1"/>
  <c r="AE140" i="1"/>
  <c r="U140" i="1"/>
  <c r="AF140" i="1"/>
  <c r="AE118" i="1"/>
  <c r="AE162" i="1"/>
  <c r="Y118" i="1"/>
  <c r="Y162" i="1"/>
  <c r="AC118" i="1"/>
  <c r="AC74" i="1"/>
  <c r="Y140" i="1"/>
  <c r="AC140" i="1"/>
  <c r="AA118" i="1"/>
  <c r="AA162" i="1"/>
  <c r="Z118" i="1"/>
  <c r="Z96" i="1"/>
  <c r="AD118" i="1"/>
  <c r="AD162" i="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c r="BF216" i="1"/>
  <c r="BF215" i="1"/>
  <c r="BF214" i="1"/>
  <c r="N216" i="1"/>
  <c r="L216" i="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c r="BF190" i="1"/>
  <c r="N192" i="1"/>
  <c r="I193" i="1"/>
  <c r="BF189" i="1"/>
  <c r="N191" i="1"/>
  <c r="H192" i="1"/>
  <c r="BF188" i="1"/>
  <c r="N190" i="1"/>
  <c r="K190" i="1"/>
  <c r="BF187" i="1"/>
  <c r="BF184" i="1"/>
  <c r="BF183" i="1"/>
  <c r="BF182" i="1"/>
  <c r="N182" i="1"/>
  <c r="S182" i="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c r="W76" i="1"/>
  <c r="AC164" i="1"/>
  <c r="AC76" i="1"/>
  <c r="AH120" i="1"/>
  <c r="AI120" i="1"/>
  <c r="E120" i="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c r="J194" i="1"/>
  <c r="I216" i="1"/>
  <c r="I218" i="1"/>
  <c r="A139" i="8"/>
  <c r="A9" i="9"/>
  <c r="A30" i="9"/>
  <c r="A52" i="9"/>
  <c r="A73" i="9"/>
  <c r="A94" i="9"/>
  <c r="A20" i="9"/>
  <c r="A41" i="9"/>
  <c r="A84" i="9"/>
  <c r="I190" i="1"/>
  <c r="F216" i="1"/>
  <c r="F214" i="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c r="I194" i="1"/>
  <c r="E216" i="1"/>
  <c r="E218" i="1"/>
  <c r="K216" i="1"/>
  <c r="K217" i="1"/>
  <c r="A43" i="8"/>
  <c r="A107" i="8"/>
  <c r="A172" i="8"/>
  <c r="A236" i="8"/>
  <c r="A6" i="9"/>
  <c r="A12" i="9"/>
  <c r="A17" i="9"/>
  <c r="A22" i="9"/>
  <c r="A28" i="9"/>
  <c r="A33" i="9"/>
  <c r="A38" i="9"/>
  <c r="A44" i="9"/>
  <c r="A49" i="9"/>
  <c r="A54" i="9"/>
  <c r="A60" i="9"/>
  <c r="A65" i="9"/>
  <c r="A70" i="9"/>
  <c r="A76" i="9"/>
  <c r="A81" i="9"/>
  <c r="A86" i="9"/>
  <c r="A92" i="9"/>
  <c r="A97" i="9"/>
  <c r="G190" i="1"/>
  <c r="J216" i="1"/>
  <c r="J217" i="1"/>
  <c r="A27" i="8"/>
  <c r="A91" i="8"/>
  <c r="A156" i="8"/>
  <c r="A220" i="8"/>
  <c r="A5" i="9"/>
  <c r="A10" i="9"/>
  <c r="A16" i="9"/>
  <c r="A21" i="9"/>
  <c r="A26" i="9"/>
  <c r="A32" i="9"/>
  <c r="A37" i="9"/>
  <c r="A42" i="9"/>
  <c r="A48" i="9"/>
  <c r="A53" i="9"/>
  <c r="A58" i="9"/>
  <c r="A64" i="9"/>
  <c r="A69" i="9"/>
  <c r="A74" i="9"/>
  <c r="A80" i="9"/>
  <c r="A85" i="9"/>
  <c r="A90" i="9"/>
  <c r="A96" i="9"/>
  <c r="H216" i="1"/>
  <c r="H214"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c r="G193" i="1"/>
  <c r="K193" i="1"/>
  <c r="G219" i="1"/>
  <c r="K192" i="1"/>
  <c r="J192" i="1"/>
  <c r="J193" i="1"/>
  <c r="F219" i="1"/>
  <c r="K219" i="1"/>
  <c r="J219" i="1"/>
  <c r="H193" i="1"/>
  <c r="L219" i="1"/>
  <c r="F192" i="1"/>
  <c r="F193" i="1"/>
  <c r="E193" i="1"/>
  <c r="S180" i="1"/>
  <c r="S181" i="1"/>
  <c r="E192" i="1"/>
  <c r="I192" i="1"/>
  <c r="H194" i="1"/>
  <c r="G194" i="1"/>
  <c r="G216" i="1"/>
  <c r="E219" i="1"/>
  <c r="A153" i="1"/>
  <c r="BF152" i="1"/>
  <c r="A152" i="1"/>
  <c r="BF151" i="1"/>
  <c r="A151" i="1"/>
  <c r="BF150" i="1"/>
  <c r="A150" i="1"/>
  <c r="BF149" i="1"/>
  <c r="A149" i="1"/>
  <c r="BF148" i="1"/>
  <c r="N148" i="1"/>
  <c r="A148" i="1"/>
  <c r="BF147" i="1"/>
  <c r="A147" i="1"/>
  <c r="BF146" i="1"/>
  <c r="N146" i="1"/>
  <c r="A146" i="1"/>
  <c r="BF145" i="1"/>
  <c r="N145" i="1"/>
  <c r="U145" i="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c r="AJ120" i="1"/>
  <c r="AJ98" i="1"/>
  <c r="F98" i="1"/>
  <c r="AP120" i="1"/>
  <c r="AP76" i="1"/>
  <c r="L76" i="1"/>
  <c r="AL120" i="1"/>
  <c r="AL98" i="1"/>
  <c r="H98" i="1"/>
  <c r="AO120" i="1"/>
  <c r="AO142" i="1"/>
  <c r="K142" i="1"/>
  <c r="AN120" i="1"/>
  <c r="J120" i="1"/>
  <c r="AK120" i="1"/>
  <c r="G120" i="1"/>
  <c r="AM120" i="1"/>
  <c r="AM98" i="1"/>
  <c r="I98" i="1"/>
  <c r="AI76" i="1"/>
  <c r="E76" i="1"/>
  <c r="AI164" i="1"/>
  <c r="E164" i="1"/>
  <c r="AI142" i="1"/>
  <c r="E142" i="1"/>
  <c r="AI98" i="1"/>
  <c r="E98" i="1"/>
  <c r="AL118" i="1"/>
  <c r="AL96" i="1"/>
  <c r="H96" i="1"/>
  <c r="AJ118" i="1"/>
  <c r="F118" i="1"/>
  <c r="AM118" i="1"/>
  <c r="I118" i="1"/>
  <c r="AN118" i="1"/>
  <c r="AN162" i="1"/>
  <c r="J162" i="1"/>
  <c r="AP118" i="1"/>
  <c r="AP74" i="1"/>
  <c r="L74" i="1"/>
  <c r="AI118" i="1"/>
  <c r="AI74" i="1"/>
  <c r="E74" i="1"/>
  <c r="AO118" i="1"/>
  <c r="K118" i="1"/>
  <c r="S177" i="1"/>
  <c r="S173" i="1"/>
  <c r="R136" i="1"/>
  <c r="Q136" i="1"/>
  <c r="S175" i="1"/>
  <c r="AB136" i="1"/>
  <c r="W136" i="1"/>
  <c r="H199" i="1"/>
  <c r="H206" i="1"/>
  <c r="I214" i="1"/>
  <c r="I215" i="1"/>
  <c r="K215" i="1"/>
  <c r="AK162" i="1"/>
  <c r="G162" i="1"/>
  <c r="G118" i="1"/>
  <c r="AK74" i="1"/>
  <c r="G74" i="1"/>
  <c r="AK140" i="1"/>
  <c r="G140" i="1"/>
  <c r="AK96" i="1"/>
  <c r="G96" i="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c r="J191" i="1"/>
  <c r="G218" i="1"/>
  <c r="F218" i="1"/>
  <c r="G217" i="1"/>
  <c r="G214" i="1"/>
  <c r="S146" i="1"/>
  <c r="W146" i="1"/>
  <c r="R146" i="1"/>
  <c r="V146" i="1"/>
  <c r="T145" i="1"/>
  <c r="Q146" i="1"/>
  <c r="U146" i="1"/>
  <c r="S145" i="1"/>
  <c r="R145" i="1"/>
  <c r="W145" i="1"/>
  <c r="L145" i="1"/>
  <c r="P146" i="1"/>
  <c r="S148" i="1"/>
  <c r="G215" i="1"/>
  <c r="A136" i="1"/>
  <c r="BF135" i="1"/>
  <c r="A135" i="1"/>
  <c r="BF134" i="1"/>
  <c r="N134" i="1"/>
  <c r="W134" i="1"/>
  <c r="A134" i="1"/>
  <c r="BF133" i="1"/>
  <c r="L75" i="1"/>
  <c r="AJ164" i="1"/>
  <c r="F164" i="1"/>
  <c r="AP98" i="1"/>
  <c r="L98" i="1"/>
  <c r="AM142" i="1"/>
  <c r="I142" i="1"/>
  <c r="AP142" i="1"/>
  <c r="L142" i="1"/>
  <c r="L120" i="1"/>
  <c r="AP164" i="1"/>
  <c r="L164" i="1"/>
  <c r="AN98" i="1"/>
  <c r="J98" i="1"/>
  <c r="AN76" i="1"/>
  <c r="J76" i="1"/>
  <c r="AJ142" i="1"/>
  <c r="F142" i="1"/>
  <c r="AJ76" i="1"/>
  <c r="F76" i="1"/>
  <c r="F120" i="1"/>
  <c r="AL76" i="1"/>
  <c r="H76" i="1"/>
  <c r="AN164" i="1"/>
  <c r="J164" i="1"/>
  <c r="J163" i="1"/>
  <c r="AL164" i="1"/>
  <c r="H164" i="1"/>
  <c r="H120" i="1"/>
  <c r="J119" i="1"/>
  <c r="AL142" i="1"/>
  <c r="H142" i="1"/>
  <c r="AM164" i="1"/>
  <c r="I164" i="1"/>
  <c r="AM76" i="1"/>
  <c r="I76" i="1"/>
  <c r="AK76" i="1"/>
  <c r="G76" i="1"/>
  <c r="G75" i="1"/>
  <c r="AO164" i="1"/>
  <c r="K164" i="1"/>
  <c r="I120" i="1"/>
  <c r="I119" i="1"/>
  <c r="F119" i="1"/>
  <c r="G119" i="1"/>
  <c r="K120" i="1"/>
  <c r="K119" i="1"/>
  <c r="AK164" i="1"/>
  <c r="G164" i="1"/>
  <c r="G163" i="1"/>
  <c r="AN142" i="1"/>
  <c r="J142" i="1"/>
  <c r="AO98" i="1"/>
  <c r="K98" i="1"/>
  <c r="AK142" i="1"/>
  <c r="G142" i="1"/>
  <c r="G141" i="1"/>
  <c r="AO76" i="1"/>
  <c r="K76" i="1"/>
  <c r="AK98" i="1"/>
  <c r="G98" i="1"/>
  <c r="G97" i="1"/>
  <c r="AO162" i="1"/>
  <c r="K162" i="1"/>
  <c r="AN96" i="1"/>
  <c r="J96" i="1"/>
  <c r="H97" i="1"/>
  <c r="E75" i="1"/>
  <c r="AO74" i="1"/>
  <c r="K74" i="1"/>
  <c r="E118" i="1"/>
  <c r="E119" i="1"/>
  <c r="AM74" i="1"/>
  <c r="I74" i="1"/>
  <c r="AN74" i="1"/>
  <c r="J74" i="1"/>
  <c r="AM96" i="1"/>
  <c r="I96" i="1"/>
  <c r="I97" i="1"/>
  <c r="AN140" i="1"/>
  <c r="J140" i="1"/>
  <c r="AJ162" i="1"/>
  <c r="F162" i="1"/>
  <c r="AL162" i="1"/>
  <c r="H162" i="1"/>
  <c r="H118" i="1"/>
  <c r="AP96" i="1"/>
  <c r="L96" i="1"/>
  <c r="AP140" i="1"/>
  <c r="L140" i="1"/>
  <c r="AO140" i="1"/>
  <c r="K140" i="1"/>
  <c r="K141" i="1"/>
  <c r="AJ74" i="1"/>
  <c r="F74" i="1"/>
  <c r="AM162" i="1"/>
  <c r="I162" i="1"/>
  <c r="AJ96" i="1"/>
  <c r="F96" i="1"/>
  <c r="F97" i="1"/>
  <c r="AI96" i="1"/>
  <c r="E96" i="1"/>
  <c r="E97" i="1"/>
  <c r="AO96" i="1"/>
  <c r="K96" i="1"/>
  <c r="AM140" i="1"/>
  <c r="I140" i="1"/>
  <c r="AI162" i="1"/>
  <c r="E162" i="1"/>
  <c r="E163" i="1"/>
  <c r="AL140" i="1"/>
  <c r="H140" i="1"/>
  <c r="AP162" i="1"/>
  <c r="L162" i="1"/>
  <c r="AL74" i="1"/>
  <c r="H74" i="1"/>
  <c r="AJ140" i="1"/>
  <c r="F140" i="1"/>
  <c r="L118" i="1"/>
  <c r="AI140" i="1"/>
  <c r="E140" i="1"/>
  <c r="E141" i="1"/>
  <c r="K145" i="1"/>
  <c r="J145" i="1"/>
  <c r="I145" i="1"/>
  <c r="H145" i="1"/>
  <c r="F206" i="1"/>
  <c r="F199" i="1"/>
  <c r="E199" i="1"/>
  <c r="V134" i="1"/>
  <c r="AB134" i="1"/>
  <c r="AF134" i="1"/>
  <c r="U134" i="1"/>
  <c r="AA134" i="1"/>
  <c r="AE134" i="1"/>
  <c r="R134" i="1"/>
  <c r="Z134" i="1"/>
  <c r="AD134" i="1"/>
  <c r="Q134" i="1"/>
  <c r="Y134" i="1"/>
  <c r="AC134" i="1"/>
  <c r="J200" i="1"/>
  <c r="G145" i="1"/>
  <c r="F145" i="1"/>
  <c r="E145" i="1"/>
  <c r="P134" i="1"/>
  <c r="T134" i="1"/>
  <c r="I191" i="1"/>
  <c r="I207" i="1"/>
  <c r="I200" i="1"/>
  <c r="S134" i="1"/>
  <c r="A133" i="1"/>
  <c r="BF132" i="1"/>
  <c r="N132" i="1"/>
  <c r="T132" i="1"/>
  <c r="A132" i="1"/>
  <c r="BF131" i="1"/>
  <c r="A131" i="1"/>
  <c r="BF130" i="1"/>
  <c r="L97" i="1"/>
  <c r="L163" i="1"/>
  <c r="F75" i="1"/>
  <c r="H163" i="1"/>
  <c r="F163" i="1"/>
  <c r="L119" i="1"/>
  <c r="H141" i="1"/>
  <c r="J75" i="1"/>
  <c r="K163" i="1"/>
  <c r="I141" i="1"/>
  <c r="F141" i="1"/>
  <c r="L141" i="1"/>
  <c r="H119" i="1"/>
  <c r="J97" i="1"/>
  <c r="K97" i="1"/>
  <c r="H75" i="1"/>
  <c r="I163" i="1"/>
  <c r="I75" i="1"/>
  <c r="K75" i="1"/>
  <c r="J141" i="1"/>
  <c r="Z132" i="1"/>
  <c r="Y132" i="1"/>
  <c r="AD132" i="1"/>
  <c r="AC132" i="1"/>
  <c r="AB132" i="1"/>
  <c r="AF132" i="1"/>
  <c r="AA132" i="1"/>
  <c r="AE132" i="1"/>
  <c r="H191" i="1"/>
  <c r="G191" i="1"/>
  <c r="S132" i="1"/>
  <c r="W132" i="1"/>
  <c r="R132" i="1"/>
  <c r="V132" i="1"/>
  <c r="Q132" i="1"/>
  <c r="U132" i="1"/>
  <c r="P132" i="1"/>
  <c r="N130" i="1"/>
  <c r="U130" i="1"/>
  <c r="A130" i="1"/>
  <c r="BF129" i="1"/>
  <c r="A129" i="1"/>
  <c r="BF128" i="1"/>
  <c r="N128" i="1"/>
  <c r="W128" i="1"/>
  <c r="A128" i="1"/>
  <c r="BF127" i="1"/>
  <c r="A127" i="1"/>
  <c r="BF126" i="1"/>
  <c r="N126" i="1"/>
  <c r="W126" i="1"/>
  <c r="A126" i="1"/>
  <c r="BF125" i="1"/>
  <c r="A125" i="1"/>
  <c r="N124" i="1"/>
  <c r="W124" i="1"/>
  <c r="A124" i="1"/>
  <c r="N123" i="1"/>
  <c r="V123" i="1"/>
  <c r="B123" i="1"/>
  <c r="A123" i="1"/>
  <c r="BF122" i="1"/>
  <c r="BF121" i="1"/>
  <c r="BF118" i="1"/>
  <c r="BF117" i="1"/>
  <c r="BF116" i="1"/>
  <c r="AF116" i="1"/>
  <c r="AF160" i="1"/>
  <c r="AE116" i="1"/>
  <c r="AE160" i="1"/>
  <c r="AD116" i="1"/>
  <c r="AD160" i="1"/>
  <c r="AC116" i="1"/>
  <c r="AC160" i="1"/>
  <c r="AB116" i="1"/>
  <c r="AB160" i="1"/>
  <c r="AA116" i="1"/>
  <c r="AA160" i="1"/>
  <c r="Z116" i="1"/>
  <c r="Z160" i="1"/>
  <c r="Y116" i="1"/>
  <c r="Y160" i="1"/>
  <c r="W116" i="1"/>
  <c r="V116" i="1"/>
  <c r="V160" i="1"/>
  <c r="U116" i="1"/>
  <c r="U160" i="1"/>
  <c r="T116" i="1"/>
  <c r="T160" i="1"/>
  <c r="S116" i="1"/>
  <c r="R116" i="1"/>
  <c r="R160" i="1"/>
  <c r="Q116" i="1"/>
  <c r="Q160" i="1"/>
  <c r="P116" i="1"/>
  <c r="P160" i="1"/>
  <c r="A116" i="1"/>
  <c r="BF115" i="1"/>
  <c r="A115" i="1"/>
  <c r="BF114" i="1"/>
  <c r="N114" i="1"/>
  <c r="T114" i="1"/>
  <c r="T158" i="1"/>
  <c r="A114" i="1"/>
  <c r="BF113" i="1"/>
  <c r="A113" i="1"/>
  <c r="BF112" i="1"/>
  <c r="AH112" i="1"/>
  <c r="AK112" i="1"/>
  <c r="N112" i="1"/>
  <c r="U112" i="1"/>
  <c r="U156" i="1"/>
  <c r="A112" i="1"/>
  <c r="BF111" i="1"/>
  <c r="A111" i="1"/>
  <c r="BF110" i="1"/>
  <c r="AH110" i="1"/>
  <c r="AN110" i="1"/>
  <c r="N110" i="1"/>
  <c r="U110" i="1"/>
  <c r="U154" i="1"/>
  <c r="A110" i="1"/>
  <c r="BF109" i="1"/>
  <c r="A109" i="1"/>
  <c r="BF108" i="1"/>
  <c r="AA128" i="1"/>
  <c r="AE114" i="1"/>
  <c r="AE158" i="1"/>
  <c r="Y114" i="1"/>
  <c r="Y158" i="1"/>
  <c r="AE130" i="1"/>
  <c r="P128" i="1"/>
  <c r="P130" i="1"/>
  <c r="R126" i="1"/>
  <c r="Q126" i="1"/>
  <c r="U128" i="1"/>
  <c r="T130" i="1"/>
  <c r="AB112" i="1"/>
  <c r="AB156" i="1"/>
  <c r="AA110" i="1"/>
  <c r="AA154" i="1"/>
  <c r="AB114" i="1"/>
  <c r="AB158" i="1"/>
  <c r="R124" i="1"/>
  <c r="P110" i="1"/>
  <c r="P154" i="1"/>
  <c r="AE110" i="1"/>
  <c r="AE154" i="1"/>
  <c r="P112" i="1"/>
  <c r="P156" i="1"/>
  <c r="AF112" i="1"/>
  <c r="AF156" i="1"/>
  <c r="AA114" i="1"/>
  <c r="Z114" i="1"/>
  <c r="Z158" i="1"/>
  <c r="AF114" i="1"/>
  <c r="AF158" i="1"/>
  <c r="Q124" i="1"/>
  <c r="AE128" i="1"/>
  <c r="AA130" i="1"/>
  <c r="AB110" i="1"/>
  <c r="AB154" i="1"/>
  <c r="AA112" i="1"/>
  <c r="AA156" i="1"/>
  <c r="AD114" i="1"/>
  <c r="T110" i="1"/>
  <c r="T154" i="1"/>
  <c r="AF110" i="1"/>
  <c r="T112" i="1"/>
  <c r="T156" i="1"/>
  <c r="AB130" i="1"/>
  <c r="Z128" i="1"/>
  <c r="V124" i="1"/>
  <c r="V126" i="1"/>
  <c r="R128" i="1"/>
  <c r="Y128" i="1"/>
  <c r="AC128" i="1"/>
  <c r="Z130" i="1"/>
  <c r="AD130" i="1"/>
  <c r="T128" i="1"/>
  <c r="AD128" i="1"/>
  <c r="Z110" i="1"/>
  <c r="Z154" i="1"/>
  <c r="AD110" i="1"/>
  <c r="AD154" i="1"/>
  <c r="Z112" i="1"/>
  <c r="Z156" i="1"/>
  <c r="AE112" i="1"/>
  <c r="AE156" i="1"/>
  <c r="Y110" i="1"/>
  <c r="Y154" i="1"/>
  <c r="AC110" i="1"/>
  <c r="AC154" i="1"/>
  <c r="Y112" i="1"/>
  <c r="Y156" i="1"/>
  <c r="AD112" i="1"/>
  <c r="AD156" i="1"/>
  <c r="AC114" i="1"/>
  <c r="U124" i="1"/>
  <c r="U126" i="1"/>
  <c r="Q128" i="1"/>
  <c r="V128" i="1"/>
  <c r="AB128" i="1"/>
  <c r="AF128" i="1"/>
  <c r="Y130" i="1"/>
  <c r="AC130" i="1"/>
  <c r="S160" i="1"/>
  <c r="W160" i="1"/>
  <c r="R114" i="1"/>
  <c r="R158" i="1"/>
  <c r="V114" i="1"/>
  <c r="V158" i="1"/>
  <c r="R123" i="1"/>
  <c r="W123" i="1"/>
  <c r="L123" i="1"/>
  <c r="K123" i="1"/>
  <c r="S130" i="1"/>
  <c r="W130" i="1"/>
  <c r="H207" i="1"/>
  <c r="R110" i="1"/>
  <c r="R154" i="1"/>
  <c r="V110" i="1"/>
  <c r="V154" i="1"/>
  <c r="AM110" i="1"/>
  <c r="AM154" i="1"/>
  <c r="R112" i="1"/>
  <c r="V112" i="1"/>
  <c r="V156" i="1"/>
  <c r="Q114" i="1"/>
  <c r="Q158" i="1"/>
  <c r="U114" i="1"/>
  <c r="U158" i="1"/>
  <c r="AD158" i="1"/>
  <c r="Q123" i="1"/>
  <c r="P124" i="1"/>
  <c r="T124" i="1"/>
  <c r="P126" i="1"/>
  <c r="T126" i="1"/>
  <c r="S128" i="1"/>
  <c r="R130" i="1"/>
  <c r="V130" i="1"/>
  <c r="H200" i="1"/>
  <c r="F191" i="1"/>
  <c r="E191" i="1"/>
  <c r="G207" i="1"/>
  <c r="G200" i="1"/>
  <c r="S114" i="1"/>
  <c r="S158" i="1"/>
  <c r="W114" i="1"/>
  <c r="W158" i="1"/>
  <c r="T123" i="1"/>
  <c r="S123" i="1"/>
  <c r="S110" i="1"/>
  <c r="S154" i="1"/>
  <c r="W110" i="1"/>
  <c r="W154" i="1"/>
  <c r="S112" i="1"/>
  <c r="S156" i="1"/>
  <c r="W112" i="1"/>
  <c r="W156" i="1"/>
  <c r="Q110" i="1"/>
  <c r="Q154" i="1"/>
  <c r="AI110" i="1"/>
  <c r="Q112" i="1"/>
  <c r="Q156" i="1"/>
  <c r="P114" i="1"/>
  <c r="P158" i="1"/>
  <c r="P123" i="1"/>
  <c r="U123" i="1"/>
  <c r="S124" i="1"/>
  <c r="S126" i="1"/>
  <c r="Q130" i="1"/>
  <c r="AC112" i="1"/>
  <c r="AC156" i="1"/>
  <c r="AN154" i="1"/>
  <c r="AN132" i="1"/>
  <c r="AK156" i="1"/>
  <c r="AK134" i="1"/>
  <c r="AL112" i="1"/>
  <c r="AP112" i="1"/>
  <c r="AL110" i="1"/>
  <c r="AP110" i="1"/>
  <c r="AO112" i="1"/>
  <c r="AK110" i="1"/>
  <c r="AO110" i="1"/>
  <c r="AJ112" i="1"/>
  <c r="AN112" i="1"/>
  <c r="AJ110" i="1"/>
  <c r="AI112" i="1"/>
  <c r="AM112" i="1"/>
  <c r="N108" i="1"/>
  <c r="U108" i="1"/>
  <c r="U152" i="1"/>
  <c r="A108" i="1"/>
  <c r="BF107" i="1"/>
  <c r="J110" i="1"/>
  <c r="E110" i="1"/>
  <c r="G112" i="1"/>
  <c r="AM132" i="1"/>
  <c r="AC158" i="1"/>
  <c r="I110" i="1"/>
  <c r="AA158" i="1"/>
  <c r="P108" i="1"/>
  <c r="AA108" i="1"/>
  <c r="AA152" i="1"/>
  <c r="AE108" i="1"/>
  <c r="AE152" i="1"/>
  <c r="Y108" i="1"/>
  <c r="Y152" i="1"/>
  <c r="AC108" i="1"/>
  <c r="AC152" i="1"/>
  <c r="AI132" i="1"/>
  <c r="Z108" i="1"/>
  <c r="Z152" i="1"/>
  <c r="AD108" i="1"/>
  <c r="AD152" i="1"/>
  <c r="T108" i="1"/>
  <c r="T152" i="1"/>
  <c r="AB108" i="1"/>
  <c r="AB152" i="1"/>
  <c r="AF108" i="1"/>
  <c r="AF152" i="1"/>
  <c r="J123" i="1"/>
  <c r="I123" i="1"/>
  <c r="H123" i="1"/>
  <c r="G123" i="1"/>
  <c r="F123" i="1"/>
  <c r="E123" i="1"/>
  <c r="AI154" i="1"/>
  <c r="AF154" i="1"/>
  <c r="R156" i="1"/>
  <c r="F207" i="1"/>
  <c r="E207" i="1"/>
  <c r="F200" i="1"/>
  <c r="E200" i="1"/>
  <c r="R108" i="1"/>
  <c r="R152" i="1"/>
  <c r="V108" i="1"/>
  <c r="V152" i="1"/>
  <c r="S108" i="1"/>
  <c r="S152" i="1"/>
  <c r="W108" i="1"/>
  <c r="W152" i="1"/>
  <c r="Q108" i="1"/>
  <c r="Q152" i="1"/>
  <c r="AJ154" i="1"/>
  <c r="AJ132" i="1"/>
  <c r="F110" i="1"/>
  <c r="AK154" i="1"/>
  <c r="AK132" i="1"/>
  <c r="G110" i="1"/>
  <c r="G111" i="1"/>
  <c r="AP154" i="1"/>
  <c r="L154" i="1"/>
  <c r="AP132" i="1"/>
  <c r="L132" i="1"/>
  <c r="L110" i="1"/>
  <c r="AL156" i="1"/>
  <c r="AL134" i="1"/>
  <c r="H112" i="1"/>
  <c r="AI156" i="1"/>
  <c r="AI134" i="1"/>
  <c r="E112" i="1"/>
  <c r="AO154" i="1"/>
  <c r="AO132" i="1"/>
  <c r="K110" i="1"/>
  <c r="AO156" i="1"/>
  <c r="AO134" i="1"/>
  <c r="K112" i="1"/>
  <c r="AP156" i="1"/>
  <c r="L156" i="1"/>
  <c r="AP134" i="1"/>
  <c r="L134" i="1"/>
  <c r="L112" i="1"/>
  <c r="AM156" i="1"/>
  <c r="AM134" i="1"/>
  <c r="I112" i="1"/>
  <c r="AJ156" i="1"/>
  <c r="AJ134" i="1"/>
  <c r="F112" i="1"/>
  <c r="AN156" i="1"/>
  <c r="AN134" i="1"/>
  <c r="J112" i="1"/>
  <c r="AL154" i="1"/>
  <c r="AL132" i="1"/>
  <c r="H110" i="1"/>
  <c r="A107" i="1"/>
  <c r="N106" i="1"/>
  <c r="V106" i="1"/>
  <c r="V150" i="1"/>
  <c r="A106" i="1"/>
  <c r="A105" i="1"/>
  <c r="BF104" i="1"/>
  <c r="N104" i="1"/>
  <c r="W104" i="1"/>
  <c r="A104" i="1"/>
  <c r="BF103" i="1"/>
  <c r="A103" i="1"/>
  <c r="BF102" i="1"/>
  <c r="N102" i="1"/>
  <c r="W102" i="1"/>
  <c r="A102" i="1"/>
  <c r="BF101" i="1"/>
  <c r="N101" i="1"/>
  <c r="U101" i="1"/>
  <c r="B101" i="1"/>
  <c r="A101" i="1"/>
  <c r="BF100" i="1"/>
  <c r="BF99" i="1"/>
  <c r="BF96" i="1"/>
  <c r="BF95" i="1"/>
  <c r="BF94" i="1"/>
  <c r="AC94" i="1"/>
  <c r="AB94" i="1"/>
  <c r="AA94" i="1"/>
  <c r="Z94" i="1"/>
  <c r="Y94" i="1"/>
  <c r="W94" i="1"/>
  <c r="V94" i="1"/>
  <c r="U94" i="1"/>
  <c r="P152" i="1"/>
  <c r="J111" i="1"/>
  <c r="T106" i="1"/>
  <c r="T104" i="1"/>
  <c r="E111" i="1"/>
  <c r="P104" i="1"/>
  <c r="AE106" i="1"/>
  <c r="I111" i="1"/>
  <c r="Q101" i="1"/>
  <c r="P101" i="1"/>
  <c r="AA106" i="1"/>
  <c r="T102" i="1"/>
  <c r="R102" i="1"/>
  <c r="Q102" i="1"/>
  <c r="V102" i="1"/>
  <c r="P102" i="1"/>
  <c r="U102" i="1"/>
  <c r="Q104" i="1"/>
  <c r="Q106" i="1"/>
  <c r="Q150" i="1"/>
  <c r="Z106" i="1"/>
  <c r="Z150" i="1"/>
  <c r="AD106" i="1"/>
  <c r="AD150" i="1"/>
  <c r="P106" i="1"/>
  <c r="Y106" i="1"/>
  <c r="Y150" i="1"/>
  <c r="AC106" i="1"/>
  <c r="AC150" i="1"/>
  <c r="U104" i="1"/>
  <c r="U106" i="1"/>
  <c r="U150" i="1"/>
  <c r="AB106" i="1"/>
  <c r="AB150" i="1"/>
  <c r="AF106" i="1"/>
  <c r="AF150" i="1"/>
  <c r="AE150" i="1"/>
  <c r="T101" i="1"/>
  <c r="K111" i="1"/>
  <c r="S104" i="1"/>
  <c r="S170" i="1"/>
  <c r="S171" i="1"/>
  <c r="S106" i="1"/>
  <c r="S150" i="1"/>
  <c r="W106" i="1"/>
  <c r="W150" i="1"/>
  <c r="R101" i="1"/>
  <c r="V101" i="1"/>
  <c r="S102" i="1"/>
  <c r="S168" i="1"/>
  <c r="R104" i="1"/>
  <c r="V104" i="1"/>
  <c r="R106" i="1"/>
  <c r="R150" i="1"/>
  <c r="S101" i="1"/>
  <c r="W101" i="1"/>
  <c r="L101" i="1"/>
  <c r="H111" i="1"/>
  <c r="K134" i="1"/>
  <c r="J134" i="1"/>
  <c r="I134" i="1"/>
  <c r="H134" i="1"/>
  <c r="G134" i="1"/>
  <c r="F134" i="1"/>
  <c r="E134" i="1"/>
  <c r="F111" i="1"/>
  <c r="L111" i="1"/>
  <c r="K156" i="1"/>
  <c r="J156" i="1"/>
  <c r="I156" i="1"/>
  <c r="H156" i="1"/>
  <c r="G156" i="1"/>
  <c r="F156" i="1"/>
  <c r="E156" i="1"/>
  <c r="K154" i="1"/>
  <c r="L155" i="1"/>
  <c r="K132" i="1"/>
  <c r="L133" i="1"/>
  <c r="T94" i="1"/>
  <c r="S94" i="1"/>
  <c r="R94" i="1"/>
  <c r="Q94" i="1"/>
  <c r="P94" i="1"/>
  <c r="A94" i="1"/>
  <c r="BF93" i="1"/>
  <c r="A93" i="1"/>
  <c r="BF92" i="1"/>
  <c r="AE92" i="1"/>
  <c r="AD92" i="1"/>
  <c r="AC92" i="1"/>
  <c r="AB92" i="1"/>
  <c r="AA92" i="1"/>
  <c r="Z92" i="1"/>
  <c r="Y92" i="1"/>
  <c r="W92" i="1"/>
  <c r="V92" i="1"/>
  <c r="U92" i="1"/>
  <c r="T92" i="1"/>
  <c r="S92" i="1"/>
  <c r="R92" i="1"/>
  <c r="Q92" i="1"/>
  <c r="P92" i="1"/>
  <c r="A92" i="1"/>
  <c r="BF91" i="1"/>
  <c r="AA150" i="1"/>
  <c r="T150" i="1"/>
  <c r="K101" i="1"/>
  <c r="J101" i="1"/>
  <c r="I101" i="1"/>
  <c r="S169" i="1"/>
  <c r="H101" i="1"/>
  <c r="G101" i="1"/>
  <c r="F101" i="1"/>
  <c r="E101" i="1"/>
  <c r="P150" i="1"/>
  <c r="J132" i="1"/>
  <c r="K133" i="1"/>
  <c r="J154" i="1"/>
  <c r="K155" i="1"/>
  <c r="A91" i="1"/>
  <c r="BF90" i="1"/>
  <c r="AP90" i="1"/>
  <c r="AO90" i="1"/>
  <c r="AN90" i="1"/>
  <c r="AM90" i="1"/>
  <c r="AL90" i="1"/>
  <c r="AK90" i="1"/>
  <c r="AJ90" i="1"/>
  <c r="AI90" i="1"/>
  <c r="AF90" i="1"/>
  <c r="AE90" i="1"/>
  <c r="AD90" i="1"/>
  <c r="AC90" i="1"/>
  <c r="AB90" i="1"/>
  <c r="AA90" i="1"/>
  <c r="Z90" i="1"/>
  <c r="Y90" i="1"/>
  <c r="W90" i="1"/>
  <c r="V90" i="1"/>
  <c r="U90" i="1"/>
  <c r="T90" i="1"/>
  <c r="S90" i="1"/>
  <c r="R90" i="1"/>
  <c r="Q90" i="1"/>
  <c r="P90" i="1"/>
  <c r="L90" i="1"/>
  <c r="K90" i="1"/>
  <c r="I154" i="1"/>
  <c r="J155" i="1"/>
  <c r="I132" i="1"/>
  <c r="J133" i="1"/>
  <c r="J90" i="1"/>
  <c r="I90" i="1"/>
  <c r="H90" i="1"/>
  <c r="G90" i="1"/>
  <c r="F90" i="1"/>
  <c r="E90" i="1"/>
  <c r="A90" i="1"/>
  <c r="BF89" i="1"/>
  <c r="A89" i="1"/>
  <c r="AP88" i="1"/>
  <c r="AO88" i="1"/>
  <c r="AN88" i="1"/>
  <c r="AM88" i="1"/>
  <c r="AL88" i="1"/>
  <c r="AK88" i="1"/>
  <c r="AJ88" i="1"/>
  <c r="AI88" i="1"/>
  <c r="AF88" i="1"/>
  <c r="AE88" i="1"/>
  <c r="AD88" i="1"/>
  <c r="AC88" i="1"/>
  <c r="AB88" i="1"/>
  <c r="AA88" i="1"/>
  <c r="Z88" i="1"/>
  <c r="Y88" i="1"/>
  <c r="W88" i="1"/>
  <c r="V88" i="1"/>
  <c r="U88" i="1"/>
  <c r="T88" i="1"/>
  <c r="S88" i="1"/>
  <c r="R88" i="1"/>
  <c r="Q88" i="1"/>
  <c r="P88" i="1"/>
  <c r="A88" i="1"/>
  <c r="A87" i="1"/>
  <c r="BF86" i="1"/>
  <c r="AF86" i="1"/>
  <c r="AE86" i="1"/>
  <c r="AD86" i="1"/>
  <c r="AC86" i="1"/>
  <c r="AB86" i="1"/>
  <c r="AA86" i="1"/>
  <c r="Z86" i="1"/>
  <c r="Y86" i="1"/>
  <c r="W86" i="1"/>
  <c r="V86" i="1"/>
  <c r="U86" i="1"/>
  <c r="T86" i="1"/>
  <c r="S86" i="1"/>
  <c r="R86" i="1"/>
  <c r="Q86" i="1"/>
  <c r="P86" i="1"/>
  <c r="A86" i="1"/>
  <c r="BF85" i="1"/>
  <c r="A85" i="1"/>
  <c r="BF84" i="1"/>
  <c r="AF84" i="1"/>
  <c r="AE84" i="1"/>
  <c r="AD84" i="1"/>
  <c r="AC84" i="1"/>
  <c r="AB84" i="1"/>
  <c r="AA84" i="1"/>
  <c r="Z84" i="1"/>
  <c r="Y84" i="1"/>
  <c r="W84" i="1"/>
  <c r="V84" i="1"/>
  <c r="U84" i="1"/>
  <c r="T84" i="1"/>
  <c r="S84" i="1"/>
  <c r="R84" i="1"/>
  <c r="Q84" i="1"/>
  <c r="P84" i="1"/>
  <c r="A84" i="1"/>
  <c r="BF83" i="1"/>
  <c r="A83" i="1"/>
  <c r="BF82" i="1"/>
  <c r="N82" i="1"/>
  <c r="W82" i="1"/>
  <c r="A82" i="1"/>
  <c r="BF81" i="1"/>
  <c r="A81" i="1"/>
  <c r="BF80" i="1"/>
  <c r="N80" i="1"/>
  <c r="T80" i="1"/>
  <c r="A80" i="1"/>
  <c r="BF79" i="1"/>
  <c r="N79" i="1"/>
  <c r="Q79" i="1"/>
  <c r="B79" i="1"/>
  <c r="A79" i="1"/>
  <c r="BF78" i="1"/>
  <c r="BF77" i="1"/>
  <c r="BF74" i="1"/>
  <c r="N74" i="1"/>
  <c r="BF73" i="1"/>
  <c r="BF72" i="1"/>
  <c r="AF72" i="1"/>
  <c r="AE72" i="1"/>
  <c r="AD72" i="1"/>
  <c r="AC72" i="1"/>
  <c r="AB72" i="1"/>
  <c r="AA72" i="1"/>
  <c r="Z72" i="1"/>
  <c r="Y72" i="1"/>
  <c r="W72" i="1"/>
  <c r="V72" i="1"/>
  <c r="U72" i="1"/>
  <c r="T72" i="1"/>
  <c r="S72" i="1"/>
  <c r="R72" i="1"/>
  <c r="Q72" i="1"/>
  <c r="P72" i="1"/>
  <c r="N72" i="1"/>
  <c r="A72" i="1"/>
  <c r="BF71" i="1"/>
  <c r="A71" i="1"/>
  <c r="AF70" i="1"/>
  <c r="AE70" i="1"/>
  <c r="AD70" i="1"/>
  <c r="AC70" i="1"/>
  <c r="AB70" i="1"/>
  <c r="AA70" i="1"/>
  <c r="Z70" i="1"/>
  <c r="Y70" i="1"/>
  <c r="W70" i="1"/>
  <c r="V70" i="1"/>
  <c r="U70" i="1"/>
  <c r="T70" i="1"/>
  <c r="S70" i="1"/>
  <c r="R70" i="1"/>
  <c r="Q70" i="1"/>
  <c r="P70" i="1"/>
  <c r="A70" i="1"/>
  <c r="A69" i="1"/>
  <c r="BF68" i="1"/>
  <c r="AP68" i="1"/>
  <c r="AO68" i="1"/>
  <c r="AN68" i="1"/>
  <c r="AM68" i="1"/>
  <c r="AL68" i="1"/>
  <c r="AK68" i="1"/>
  <c r="AJ68" i="1"/>
  <c r="AI68" i="1"/>
  <c r="AF68" i="1"/>
  <c r="AE68" i="1"/>
  <c r="AD68" i="1"/>
  <c r="AC68" i="1"/>
  <c r="AB68" i="1"/>
  <c r="AA68" i="1"/>
  <c r="Z68" i="1"/>
  <c r="Y68" i="1"/>
  <c r="W68" i="1"/>
  <c r="V68" i="1"/>
  <c r="U68" i="1"/>
  <c r="T68" i="1"/>
  <c r="S68" i="1"/>
  <c r="R68" i="1"/>
  <c r="Q68" i="1"/>
  <c r="P68" i="1"/>
  <c r="A68" i="1"/>
  <c r="BF67" i="1"/>
  <c r="A67" i="1"/>
  <c r="BF66" i="1"/>
  <c r="AP66" i="1"/>
  <c r="AO66" i="1"/>
  <c r="AN66" i="1"/>
  <c r="AM66" i="1"/>
  <c r="AL66" i="1"/>
  <c r="AK66" i="1"/>
  <c r="AJ66" i="1"/>
  <c r="AI66" i="1"/>
  <c r="AF66" i="1"/>
  <c r="AE66" i="1"/>
  <c r="AD66" i="1"/>
  <c r="AC66" i="1"/>
  <c r="AB66" i="1"/>
  <c r="AA66" i="1"/>
  <c r="Z66" i="1"/>
  <c r="Y66" i="1"/>
  <c r="W66" i="1"/>
  <c r="V66" i="1"/>
  <c r="U66" i="1"/>
  <c r="T66" i="1"/>
  <c r="S66" i="1"/>
  <c r="R66" i="1"/>
  <c r="Q66" i="1"/>
  <c r="P66" i="1"/>
  <c r="A66" i="1"/>
  <c r="BF65" i="1"/>
  <c r="A65" i="1"/>
  <c r="BF64" i="1"/>
  <c r="AF64" i="1"/>
  <c r="AE64" i="1"/>
  <c r="AD64" i="1"/>
  <c r="AC64" i="1"/>
  <c r="AB64" i="1"/>
  <c r="AA64" i="1"/>
  <c r="Z64" i="1"/>
  <c r="Y64" i="1"/>
  <c r="W64" i="1"/>
  <c r="V64" i="1"/>
  <c r="U64" i="1"/>
  <c r="T64" i="1"/>
  <c r="S64" i="1"/>
  <c r="R64" i="1"/>
  <c r="Q64" i="1"/>
  <c r="P64" i="1"/>
  <c r="A64" i="1"/>
  <c r="BF63" i="1"/>
  <c r="P82" i="1"/>
  <c r="P79" i="1"/>
  <c r="U82" i="1"/>
  <c r="T82" i="1"/>
  <c r="T79" i="1"/>
  <c r="R82" i="1"/>
  <c r="U79" i="1"/>
  <c r="Q82" i="1"/>
  <c r="V82" i="1"/>
  <c r="S80" i="1"/>
  <c r="S79" i="1"/>
  <c r="W79" i="1"/>
  <c r="L79" i="1"/>
  <c r="Q80" i="1"/>
  <c r="U80" i="1"/>
  <c r="W80" i="1"/>
  <c r="L68" i="1"/>
  <c r="R80" i="1"/>
  <c r="V80" i="1"/>
  <c r="L66" i="1"/>
  <c r="K66" i="1"/>
  <c r="J66" i="1"/>
  <c r="I66" i="1"/>
  <c r="R79" i="1"/>
  <c r="V79" i="1"/>
  <c r="P80" i="1"/>
  <c r="S82" i="1"/>
  <c r="H66" i="1"/>
  <c r="G66" i="1"/>
  <c r="F66" i="1"/>
  <c r="E66" i="1"/>
  <c r="L88" i="1"/>
  <c r="L89" i="1"/>
  <c r="H132" i="1"/>
  <c r="I133" i="1"/>
  <c r="H154" i="1"/>
  <c r="I155" i="1"/>
  <c r="K68" i="1"/>
  <c r="J68" i="1"/>
  <c r="I68" i="1"/>
  <c r="H68" i="1"/>
  <c r="G68" i="1"/>
  <c r="F68" i="1"/>
  <c r="E68" i="1"/>
  <c r="K88" i="1"/>
  <c r="L67" i="1"/>
  <c r="E67" i="1"/>
  <c r="K79" i="1"/>
  <c r="J79" i="1"/>
  <c r="I79" i="1"/>
  <c r="H79" i="1"/>
  <c r="G79" i="1"/>
  <c r="F79" i="1"/>
  <c r="E79" i="1"/>
  <c r="H67" i="1"/>
  <c r="K67" i="1"/>
  <c r="G67" i="1"/>
  <c r="J67" i="1"/>
  <c r="I67" i="1"/>
  <c r="J88" i="1"/>
  <c r="K89" i="1"/>
  <c r="G132" i="1"/>
  <c r="H133" i="1"/>
  <c r="F67" i="1"/>
  <c r="G154" i="1"/>
  <c r="H155" i="1"/>
  <c r="A63" i="1"/>
  <c r="BF62" i="1"/>
  <c r="AF62" i="1"/>
  <c r="AE62" i="1"/>
  <c r="AD62" i="1"/>
  <c r="AC62" i="1"/>
  <c r="AB62" i="1"/>
  <c r="AA62" i="1"/>
  <c r="Z62" i="1"/>
  <c r="Y62" i="1"/>
  <c r="W62" i="1"/>
  <c r="V62" i="1"/>
  <c r="U62" i="1"/>
  <c r="T62" i="1"/>
  <c r="S62" i="1"/>
  <c r="R62" i="1"/>
  <c r="Q62" i="1"/>
  <c r="P62" i="1"/>
  <c r="A62" i="1"/>
  <c r="BF61" i="1"/>
  <c r="A61" i="1"/>
  <c r="BF60" i="1"/>
  <c r="N60" i="1"/>
  <c r="W60" i="1"/>
  <c r="A60" i="1"/>
  <c r="BF59" i="1"/>
  <c r="A59" i="1"/>
  <c r="BF58" i="1"/>
  <c r="N58" i="1"/>
  <c r="T58" i="1"/>
  <c r="A58" i="1"/>
  <c r="BF57" i="1"/>
  <c r="N57" i="1"/>
  <c r="P57" i="1"/>
  <c r="B57" i="1"/>
  <c r="A57" i="1"/>
  <c r="BF56" i="1"/>
  <c r="BF55" i="1"/>
  <c r="BF54" i="1"/>
  <c r="BF53" i="1"/>
  <c r="BF52" i="1"/>
  <c r="BF51" i="1"/>
  <c r="V57" i="1"/>
  <c r="U57" i="1"/>
  <c r="R60" i="1"/>
  <c r="Q57" i="1"/>
  <c r="Q60" i="1"/>
  <c r="V60" i="1"/>
  <c r="T60" i="1"/>
  <c r="T57" i="1"/>
  <c r="P60" i="1"/>
  <c r="U60" i="1"/>
  <c r="S58" i="1"/>
  <c r="W58" i="1"/>
  <c r="R58" i="1"/>
  <c r="V58" i="1"/>
  <c r="S57" i="1"/>
  <c r="Q58" i="1"/>
  <c r="U58" i="1"/>
  <c r="R57" i="1"/>
  <c r="W57" i="1"/>
  <c r="L57" i="1"/>
  <c r="P58" i="1"/>
  <c r="S60" i="1"/>
  <c r="C145" i="1"/>
  <c r="C123" i="1"/>
  <c r="B124" i="1"/>
  <c r="B102" i="1"/>
  <c r="C101" i="1"/>
  <c r="B80" i="1"/>
  <c r="C79" i="1"/>
  <c r="C57" i="1"/>
  <c r="B58" i="1"/>
  <c r="I88" i="1"/>
  <c r="J89" i="1"/>
  <c r="F154" i="1"/>
  <c r="G155" i="1"/>
  <c r="F132" i="1"/>
  <c r="G133" i="1"/>
  <c r="BF50" i="1"/>
  <c r="BF49" i="1"/>
  <c r="BF48" i="1"/>
  <c r="BF47" i="1"/>
  <c r="BF46" i="1"/>
  <c r="K57" i="1"/>
  <c r="J57" i="1"/>
  <c r="I57" i="1"/>
  <c r="H57" i="1"/>
  <c r="G57" i="1"/>
  <c r="F57" i="1"/>
  <c r="E57" i="1"/>
  <c r="C146" i="1"/>
  <c r="B146" i="1"/>
  <c r="B125" i="1"/>
  <c r="C124" i="1"/>
  <c r="B103" i="1"/>
  <c r="C102" i="1"/>
  <c r="C80" i="1"/>
  <c r="B81" i="1"/>
  <c r="B59" i="1"/>
  <c r="C58" i="1"/>
  <c r="E132" i="1"/>
  <c r="E133" i="1"/>
  <c r="F133" i="1"/>
  <c r="H88" i="1"/>
  <c r="I89" i="1"/>
  <c r="E154" i="1"/>
  <c r="E155" i="1"/>
  <c r="F155" i="1"/>
  <c r="BF45" i="1"/>
  <c r="BF44" i="1"/>
  <c r="C147" i="1"/>
  <c r="B147" i="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c r="C148" i="1"/>
  <c r="B127" i="1"/>
  <c r="C126" i="1"/>
  <c r="C104" i="1"/>
  <c r="C82" i="1"/>
  <c r="B82" i="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c r="B150" i="1"/>
  <c r="C127" i="1"/>
  <c r="C105" i="1"/>
  <c r="B105" i="1"/>
  <c r="B106" i="1"/>
  <c r="C83" i="1"/>
  <c r="B84" i="1"/>
  <c r="B62" i="1"/>
  <c r="C61" i="1"/>
  <c r="E88" i="1"/>
  <c r="E89" i="1"/>
  <c r="F89" i="1"/>
  <c r="AH102" i="1"/>
  <c r="AO102" i="1"/>
  <c r="AH104" i="1"/>
  <c r="AP104" i="1"/>
  <c r="AP148" i="1"/>
  <c r="L148" i="1"/>
  <c r="AH106" i="1"/>
  <c r="AO106" i="1"/>
  <c r="AH108" i="1"/>
  <c r="AO108" i="1"/>
  <c r="AH114" i="1"/>
  <c r="AO114" i="1"/>
  <c r="AF92" i="1"/>
  <c r="AH116" i="1"/>
  <c r="AF130" i="1"/>
  <c r="AF94" i="1"/>
  <c r="AE94" i="1"/>
  <c r="AD94" i="1"/>
  <c r="AP116" i="1"/>
  <c r="L116" i="1"/>
  <c r="L117" i="1"/>
  <c r="AI116" i="1"/>
  <c r="E116" i="1"/>
  <c r="E117" i="1"/>
  <c r="AJ116" i="1"/>
  <c r="AN116" i="1"/>
  <c r="J116" i="1"/>
  <c r="J117" i="1"/>
  <c r="AM102" i="1"/>
  <c r="I102" i="1"/>
  <c r="AK102" i="1"/>
  <c r="AK124" i="1"/>
  <c r="G124" i="1"/>
  <c r="AN102" i="1"/>
  <c r="AN80" i="1"/>
  <c r="J80" i="1"/>
  <c r="AO104" i="1"/>
  <c r="AO82" i="1"/>
  <c r="K82" i="1"/>
  <c r="AJ102" i="1"/>
  <c r="AJ80" i="1"/>
  <c r="F80" i="1"/>
  <c r="AJ104" i="1"/>
  <c r="AJ82" i="1"/>
  <c r="F82" i="1"/>
  <c r="AI104" i="1"/>
  <c r="AI82" i="1"/>
  <c r="E82" i="1"/>
  <c r="AM104" i="1"/>
  <c r="AM148" i="1"/>
  <c r="I148" i="1"/>
  <c r="AI102" i="1"/>
  <c r="AI80" i="1"/>
  <c r="E80" i="1"/>
  <c r="AL114" i="1"/>
  <c r="AL92" i="1"/>
  <c r="H92" i="1"/>
  <c r="H91" i="1"/>
  <c r="AL102" i="1"/>
  <c r="AL80" i="1"/>
  <c r="H80" i="1"/>
  <c r="AK114" i="1"/>
  <c r="AK92" i="1"/>
  <c r="G92" i="1"/>
  <c r="G91" i="1"/>
  <c r="AL104" i="1"/>
  <c r="AL148" i="1"/>
  <c r="H148" i="1"/>
  <c r="AO116" i="1"/>
  <c r="AO160" i="1"/>
  <c r="AM116" i="1"/>
  <c r="AM138" i="1"/>
  <c r="AI114" i="1"/>
  <c r="AI136" i="1"/>
  <c r="E136" i="1"/>
  <c r="E135" i="1"/>
  <c r="AM114" i="1"/>
  <c r="AM92" i="1"/>
  <c r="I92" i="1"/>
  <c r="I91" i="1"/>
  <c r="AJ114" i="1"/>
  <c r="AJ70" i="1"/>
  <c r="F70" i="1"/>
  <c r="F69" i="1"/>
  <c r="AK104" i="1"/>
  <c r="AK148" i="1"/>
  <c r="G148" i="1"/>
  <c r="AO58" i="1"/>
  <c r="K58" i="1"/>
  <c r="AO146" i="1"/>
  <c r="K146" i="1"/>
  <c r="AP102" i="1"/>
  <c r="AP146" i="1"/>
  <c r="L146" i="1"/>
  <c r="L147" i="1"/>
  <c r="AN104" i="1"/>
  <c r="AO136" i="1"/>
  <c r="K136" i="1"/>
  <c r="K135" i="1"/>
  <c r="K114" i="1"/>
  <c r="K113" i="1"/>
  <c r="AO92" i="1"/>
  <c r="K92" i="1"/>
  <c r="K91" i="1"/>
  <c r="AO70" i="1"/>
  <c r="K70" i="1"/>
  <c r="AO158" i="1"/>
  <c r="K158" i="1"/>
  <c r="AP72" i="1"/>
  <c r="L72" i="1"/>
  <c r="AO86" i="1"/>
  <c r="K86" i="1"/>
  <c r="K87" i="1"/>
  <c r="AO152" i="1"/>
  <c r="K152" i="1"/>
  <c r="K153" i="1"/>
  <c r="K108" i="1"/>
  <c r="K109" i="1"/>
  <c r="AO130" i="1"/>
  <c r="K130" i="1"/>
  <c r="K131" i="1"/>
  <c r="AO64" i="1"/>
  <c r="K64" i="1"/>
  <c r="K65" i="1"/>
  <c r="AO128" i="1"/>
  <c r="K128" i="1"/>
  <c r="AO84" i="1"/>
  <c r="K84" i="1"/>
  <c r="AO62" i="1"/>
  <c r="K62" i="1"/>
  <c r="K106" i="1"/>
  <c r="AO150" i="1"/>
  <c r="K150" i="1"/>
  <c r="AP108" i="1"/>
  <c r="AP106" i="1"/>
  <c r="AP82" i="1"/>
  <c r="L82" i="1"/>
  <c r="AL116" i="1"/>
  <c r="H116" i="1"/>
  <c r="H117" i="1"/>
  <c r="AO124" i="1"/>
  <c r="K124" i="1"/>
  <c r="AP126" i="1"/>
  <c r="L126" i="1"/>
  <c r="AP60" i="1"/>
  <c r="L60" i="1"/>
  <c r="AI108" i="1"/>
  <c r="AJ108" i="1"/>
  <c r="AK108" i="1"/>
  <c r="AL108" i="1"/>
  <c r="AM108" i="1"/>
  <c r="AN108" i="1"/>
  <c r="AP114" i="1"/>
  <c r="AK116" i="1"/>
  <c r="G116" i="1"/>
  <c r="G117" i="1"/>
  <c r="F116" i="1"/>
  <c r="F117" i="1"/>
  <c r="L104" i="1"/>
  <c r="AN114" i="1"/>
  <c r="AO80" i="1"/>
  <c r="K80" i="1"/>
  <c r="K102" i="1"/>
  <c r="AI106" i="1"/>
  <c r="AJ106" i="1"/>
  <c r="AK106" i="1"/>
  <c r="AL106" i="1"/>
  <c r="AM106" i="1"/>
  <c r="AN106" i="1"/>
  <c r="C150" i="1"/>
  <c r="B151" i="1"/>
  <c r="B129" i="1"/>
  <c r="C128" i="1"/>
  <c r="C106" i="1"/>
  <c r="B107" i="1"/>
  <c r="C84" i="1"/>
  <c r="C62" i="1"/>
  <c r="B63" i="1"/>
  <c r="K81" i="1"/>
  <c r="AP138" i="1"/>
  <c r="L138" i="1"/>
  <c r="L139" i="1"/>
  <c r="AP94" i="1"/>
  <c r="L94" i="1"/>
  <c r="L95" i="1"/>
  <c r="AP160" i="1"/>
  <c r="L160" i="1"/>
  <c r="AO126" i="1"/>
  <c r="K126" i="1"/>
  <c r="K127" i="1"/>
  <c r="AM60" i="1"/>
  <c r="I60" i="1"/>
  <c r="AO60" i="1"/>
  <c r="K60" i="1"/>
  <c r="K59" i="1"/>
  <c r="AO148" i="1"/>
  <c r="K148" i="1"/>
  <c r="K149" i="1"/>
  <c r="K104" i="1"/>
  <c r="K105" i="1"/>
  <c r="AN124" i="1"/>
  <c r="J124" i="1"/>
  <c r="AM124" i="1"/>
  <c r="I124" i="1"/>
  <c r="AM80" i="1"/>
  <c r="I80" i="1"/>
  <c r="AM58" i="1"/>
  <c r="I58" i="1"/>
  <c r="F102" i="1"/>
  <c r="AM146" i="1"/>
  <c r="I146" i="1"/>
  <c r="I147" i="1"/>
  <c r="G102" i="1"/>
  <c r="AK146" i="1"/>
  <c r="G146" i="1"/>
  <c r="G147" i="1"/>
  <c r="AK80" i="1"/>
  <c r="G80" i="1"/>
  <c r="AK58" i="1"/>
  <c r="G58" i="1"/>
  <c r="J102" i="1"/>
  <c r="AN58" i="1"/>
  <c r="J58" i="1"/>
  <c r="K83" i="1"/>
  <c r="AN146" i="1"/>
  <c r="J146" i="1"/>
  <c r="AI92" i="1"/>
  <c r="E92" i="1"/>
  <c r="E91" i="1"/>
  <c r="F104" i="1"/>
  <c r="AJ148" i="1"/>
  <c r="F148" i="1"/>
  <c r="AJ60" i="1"/>
  <c r="F60" i="1"/>
  <c r="F81" i="1"/>
  <c r="E81" i="1"/>
  <c r="AJ146" i="1"/>
  <c r="F146" i="1"/>
  <c r="I104" i="1"/>
  <c r="I103" i="1"/>
  <c r="AJ124" i="1"/>
  <c r="F124" i="1"/>
  <c r="AJ58" i="1"/>
  <c r="F58" i="1"/>
  <c r="AK136" i="1"/>
  <c r="G136" i="1"/>
  <c r="G135" i="1"/>
  <c r="AJ126" i="1"/>
  <c r="F126" i="1"/>
  <c r="AJ92" i="1"/>
  <c r="F92" i="1"/>
  <c r="F91" i="1"/>
  <c r="AJ136" i="1"/>
  <c r="F136" i="1"/>
  <c r="F135" i="1"/>
  <c r="AI148" i="1"/>
  <c r="E148" i="1"/>
  <c r="AO138" i="1"/>
  <c r="K138" i="1"/>
  <c r="K139" i="1"/>
  <c r="AI60" i="1"/>
  <c r="E60" i="1"/>
  <c r="AI126" i="1"/>
  <c r="E126" i="1"/>
  <c r="AL158" i="1"/>
  <c r="H158" i="1"/>
  <c r="H157" i="1"/>
  <c r="H114" i="1"/>
  <c r="H113" i="1"/>
  <c r="AL136" i="1"/>
  <c r="H136" i="1"/>
  <c r="H135" i="1"/>
  <c r="E104" i="1"/>
  <c r="AM82" i="1"/>
  <c r="I82" i="1"/>
  <c r="AM126" i="1"/>
  <c r="I126" i="1"/>
  <c r="I125" i="1"/>
  <c r="AJ158" i="1"/>
  <c r="F158" i="1"/>
  <c r="F157" i="1"/>
  <c r="AI124" i="1"/>
  <c r="E124" i="1"/>
  <c r="E102" i="1"/>
  <c r="F114" i="1"/>
  <c r="F115" i="1"/>
  <c r="AL70" i="1"/>
  <c r="H70" i="1"/>
  <c r="H69" i="1"/>
  <c r="AI58" i="1"/>
  <c r="E58" i="1"/>
  <c r="AI146" i="1"/>
  <c r="E146" i="1"/>
  <c r="AL58" i="1"/>
  <c r="H58" i="1"/>
  <c r="AK70" i="1"/>
  <c r="G70" i="1"/>
  <c r="G69" i="1"/>
  <c r="AM72" i="1"/>
  <c r="AL82" i="1"/>
  <c r="H82" i="1"/>
  <c r="H81" i="1"/>
  <c r="AL146" i="1"/>
  <c r="H146" i="1"/>
  <c r="H147" i="1"/>
  <c r="AL124" i="1"/>
  <c r="H124" i="1"/>
  <c r="H102" i="1"/>
  <c r="G114" i="1"/>
  <c r="G113" i="1"/>
  <c r="AK158" i="1"/>
  <c r="G158" i="1"/>
  <c r="G157" i="1"/>
  <c r="AI70" i="1"/>
  <c r="E70" i="1"/>
  <c r="E69" i="1"/>
  <c r="AI158" i="1"/>
  <c r="E158" i="1"/>
  <c r="E157" i="1"/>
  <c r="AK82" i="1"/>
  <c r="G82" i="1"/>
  <c r="AO94" i="1"/>
  <c r="K94" i="1"/>
  <c r="K93" i="1"/>
  <c r="AL126" i="1"/>
  <c r="H126" i="1"/>
  <c r="AL60" i="1"/>
  <c r="H60" i="1"/>
  <c r="AM160" i="1"/>
  <c r="E114" i="1"/>
  <c r="E113" i="1"/>
  <c r="K147" i="1"/>
  <c r="H104" i="1"/>
  <c r="L73" i="1"/>
  <c r="AO72" i="1"/>
  <c r="K72" i="1"/>
  <c r="K116" i="1"/>
  <c r="K117" i="1"/>
  <c r="AM70" i="1"/>
  <c r="I70" i="1"/>
  <c r="I114" i="1"/>
  <c r="K160" i="1"/>
  <c r="K159" i="1"/>
  <c r="L161" i="1"/>
  <c r="AK60" i="1"/>
  <c r="G60" i="1"/>
  <c r="AK126" i="1"/>
  <c r="G126" i="1"/>
  <c r="G125" i="1"/>
  <c r="G104" i="1"/>
  <c r="AM94" i="1"/>
  <c r="I116" i="1"/>
  <c r="I117" i="1"/>
  <c r="AM136" i="1"/>
  <c r="I136" i="1"/>
  <c r="I135" i="1"/>
  <c r="AM158" i="1"/>
  <c r="I158" i="1"/>
  <c r="AN82" i="1"/>
  <c r="J82" i="1"/>
  <c r="J81" i="1"/>
  <c r="AN60" i="1"/>
  <c r="J60" i="1"/>
  <c r="AN148" i="1"/>
  <c r="J148" i="1"/>
  <c r="AN126" i="1"/>
  <c r="J126" i="1"/>
  <c r="J104" i="1"/>
  <c r="AP80" i="1"/>
  <c r="L80" i="1"/>
  <c r="L81" i="1"/>
  <c r="AP124" i="1"/>
  <c r="L124" i="1"/>
  <c r="L125" i="1"/>
  <c r="AP58" i="1"/>
  <c r="L58" i="1"/>
  <c r="L59" i="1"/>
  <c r="L102" i="1"/>
  <c r="L103" i="1"/>
  <c r="K129" i="1"/>
  <c r="K151" i="1"/>
  <c r="K85" i="1"/>
  <c r="K107" i="1"/>
  <c r="AK62" i="1"/>
  <c r="G62" i="1"/>
  <c r="AK84" i="1"/>
  <c r="G84" i="1"/>
  <c r="AK150" i="1"/>
  <c r="G150" i="1"/>
  <c r="G149" i="1"/>
  <c r="G106" i="1"/>
  <c r="AK128" i="1"/>
  <c r="G128" i="1"/>
  <c r="AL128" i="1"/>
  <c r="H128" i="1"/>
  <c r="AL84" i="1"/>
  <c r="H84" i="1"/>
  <c r="AL62" i="1"/>
  <c r="H62" i="1"/>
  <c r="AL150" i="1"/>
  <c r="H150" i="1"/>
  <c r="H106" i="1"/>
  <c r="AN158" i="1"/>
  <c r="J158" i="1"/>
  <c r="AN70" i="1"/>
  <c r="J70" i="1"/>
  <c r="AN92" i="1"/>
  <c r="J92" i="1"/>
  <c r="AN136" i="1"/>
  <c r="J136" i="1"/>
  <c r="J114" i="1"/>
  <c r="AK72" i="1"/>
  <c r="AK138" i="1"/>
  <c r="AK160" i="1"/>
  <c r="AK94" i="1"/>
  <c r="G94" i="1"/>
  <c r="AP92" i="1"/>
  <c r="L92" i="1"/>
  <c r="AP136" i="1"/>
  <c r="L136" i="1"/>
  <c r="AP158" i="1"/>
  <c r="L158" i="1"/>
  <c r="AP70" i="1"/>
  <c r="L70" i="1"/>
  <c r="L114" i="1"/>
  <c r="AI86" i="1"/>
  <c r="E86" i="1"/>
  <c r="E87" i="1"/>
  <c r="AI130" i="1"/>
  <c r="E130" i="1"/>
  <c r="AI64" i="1"/>
  <c r="E64" i="1"/>
  <c r="E65" i="1"/>
  <c r="AI152" i="1"/>
  <c r="E152" i="1"/>
  <c r="E153" i="1"/>
  <c r="E108" i="1"/>
  <c r="E109" i="1"/>
  <c r="AL72" i="1"/>
  <c r="AL138" i="1"/>
  <c r="AL160" i="1"/>
  <c r="H160" i="1"/>
  <c r="AL94" i="1"/>
  <c r="AM62" i="1"/>
  <c r="I62" i="1"/>
  <c r="AM84" i="1"/>
  <c r="I84" i="1"/>
  <c r="AM128" i="1"/>
  <c r="I128" i="1"/>
  <c r="AM150" i="1"/>
  <c r="I150" i="1"/>
  <c r="I106" i="1"/>
  <c r="AI128" i="1"/>
  <c r="E128" i="1"/>
  <c r="E106" i="1"/>
  <c r="AI84" i="1"/>
  <c r="E84" i="1"/>
  <c r="AI62" i="1"/>
  <c r="E62" i="1"/>
  <c r="AI150" i="1"/>
  <c r="E150" i="1"/>
  <c r="AJ72" i="1"/>
  <c r="AJ138" i="1"/>
  <c r="AJ160" i="1"/>
  <c r="AJ94" i="1"/>
  <c r="AP64" i="1"/>
  <c r="L64" i="1"/>
  <c r="L65" i="1"/>
  <c r="AP130" i="1"/>
  <c r="L130" i="1"/>
  <c r="L131" i="1"/>
  <c r="L108" i="1"/>
  <c r="L109" i="1"/>
  <c r="AP86" i="1"/>
  <c r="L86" i="1"/>
  <c r="L87" i="1"/>
  <c r="AP152" i="1"/>
  <c r="L152" i="1"/>
  <c r="L153" i="1"/>
  <c r="AN86" i="1"/>
  <c r="J86" i="1"/>
  <c r="J87" i="1"/>
  <c r="AN130" i="1"/>
  <c r="J130" i="1"/>
  <c r="AN64" i="1"/>
  <c r="J64" i="1"/>
  <c r="J65" i="1"/>
  <c r="AN152" i="1"/>
  <c r="J152" i="1"/>
  <c r="J108" i="1"/>
  <c r="J109" i="1"/>
  <c r="AK86" i="1"/>
  <c r="G86" i="1"/>
  <c r="G87" i="1"/>
  <c r="AK64" i="1"/>
  <c r="G64" i="1"/>
  <c r="G65" i="1"/>
  <c r="G108" i="1"/>
  <c r="G109" i="1"/>
  <c r="AK130" i="1"/>
  <c r="G130" i="1"/>
  <c r="G131" i="1"/>
  <c r="AK152" i="1"/>
  <c r="G152" i="1"/>
  <c r="AN72" i="1"/>
  <c r="AN138" i="1"/>
  <c r="J138" i="1"/>
  <c r="AN94" i="1"/>
  <c r="J94" i="1"/>
  <c r="AN160" i="1"/>
  <c r="K157" i="1"/>
  <c r="AL86" i="1"/>
  <c r="H86" i="1"/>
  <c r="H87" i="1"/>
  <c r="AL130" i="1"/>
  <c r="H130" i="1"/>
  <c r="H131" i="1"/>
  <c r="AL152" i="1"/>
  <c r="H152" i="1"/>
  <c r="H153" i="1"/>
  <c r="H108" i="1"/>
  <c r="H109" i="1"/>
  <c r="AL64" i="1"/>
  <c r="H64" i="1"/>
  <c r="H65" i="1"/>
  <c r="AN62" i="1"/>
  <c r="J62" i="1"/>
  <c r="AN84" i="1"/>
  <c r="J84" i="1"/>
  <c r="AN128" i="1"/>
  <c r="J128" i="1"/>
  <c r="AN150" i="1"/>
  <c r="J150" i="1"/>
  <c r="J106" i="1"/>
  <c r="AJ128" i="1"/>
  <c r="F128" i="1"/>
  <c r="AJ150" i="1"/>
  <c r="F150" i="1"/>
  <c r="AJ84" i="1"/>
  <c r="F84" i="1"/>
  <c r="AJ62" i="1"/>
  <c r="F62" i="1"/>
  <c r="F106" i="1"/>
  <c r="AI72" i="1"/>
  <c r="AI160" i="1"/>
  <c r="AI138" i="1"/>
  <c r="AI94" i="1"/>
  <c r="AM86" i="1"/>
  <c r="I86" i="1"/>
  <c r="I87" i="1"/>
  <c r="I108" i="1"/>
  <c r="I109" i="1"/>
  <c r="AM64" i="1"/>
  <c r="I64" i="1"/>
  <c r="AM130" i="1"/>
  <c r="I130" i="1"/>
  <c r="AM152" i="1"/>
  <c r="I152" i="1"/>
  <c r="I153" i="1"/>
  <c r="AJ86" i="1"/>
  <c r="F86" i="1"/>
  <c r="F87" i="1"/>
  <c r="F108" i="1"/>
  <c r="F109" i="1"/>
  <c r="AJ64" i="1"/>
  <c r="F64" i="1"/>
  <c r="AJ130" i="1"/>
  <c r="F130" i="1"/>
  <c r="F131" i="1"/>
  <c r="AJ152" i="1"/>
  <c r="F152" i="1"/>
  <c r="L106" i="1"/>
  <c r="AP62" i="1"/>
  <c r="L62" i="1"/>
  <c r="AP84" i="1"/>
  <c r="L84" i="1"/>
  <c r="AP150" i="1"/>
  <c r="L150" i="1"/>
  <c r="AP128" i="1"/>
  <c r="L128" i="1"/>
  <c r="K63" i="1"/>
  <c r="K69" i="1"/>
  <c r="C151" i="1"/>
  <c r="B152" i="1"/>
  <c r="B130" i="1"/>
  <c r="B108" i="1"/>
  <c r="C107" i="1"/>
  <c r="C85" i="1"/>
  <c r="B64" i="1"/>
  <c r="B86" i="1"/>
  <c r="C63" i="1"/>
  <c r="C129" i="1"/>
  <c r="B128" i="1"/>
  <c r="I59" i="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c r="K73" i="1"/>
  <c r="K71" i="1"/>
  <c r="I94" i="1"/>
  <c r="J95" i="1"/>
  <c r="G160" i="1"/>
  <c r="H161" i="1"/>
  <c r="J160" i="1"/>
  <c r="J159" i="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c r="F95" i="1"/>
  <c r="F93" i="1"/>
  <c r="H138" i="1"/>
  <c r="I139" i="1"/>
  <c r="I137" i="1"/>
  <c r="I160" i="1"/>
  <c r="J161" i="1"/>
  <c r="H94" i="1"/>
  <c r="I95" i="1"/>
  <c r="I93" i="1"/>
  <c r="I72" i="1"/>
  <c r="J73" i="1"/>
  <c r="F160" i="1"/>
  <c r="G161" i="1"/>
  <c r="G159" i="1"/>
  <c r="B154" i="1"/>
  <c r="C153" i="1"/>
  <c r="B132" i="1"/>
  <c r="C131" i="1"/>
  <c r="B110" i="1"/>
  <c r="C109" i="1"/>
  <c r="B88" i="1"/>
  <c r="B66" i="1"/>
  <c r="C87" i="1"/>
  <c r="C65" i="1"/>
  <c r="H95" i="1"/>
  <c r="H93" i="1"/>
  <c r="E95" i="1"/>
  <c r="E93" i="1"/>
  <c r="E160" i="1"/>
  <c r="F161" i="1"/>
  <c r="F159" i="1"/>
  <c r="I161" i="1"/>
  <c r="I159" i="1"/>
  <c r="H72" i="1"/>
  <c r="I73" i="1"/>
  <c r="I71" i="1"/>
  <c r="G138" i="1"/>
  <c r="H139" i="1"/>
  <c r="H137" i="1"/>
  <c r="B155" i="1"/>
  <c r="C154" i="1"/>
  <c r="B133" i="1"/>
  <c r="C132" i="1"/>
  <c r="C110" i="1"/>
  <c r="B111" i="1"/>
  <c r="C88" i="1"/>
  <c r="B67" i="1"/>
  <c r="C66" i="1"/>
  <c r="B89" i="1"/>
  <c r="F138" i="1"/>
  <c r="G139" i="1"/>
  <c r="G137" i="1"/>
  <c r="E161" i="1"/>
  <c r="E159" i="1"/>
  <c r="G72" i="1"/>
  <c r="H73" i="1"/>
  <c r="H71" i="1"/>
  <c r="C155" i="1"/>
  <c r="B156" i="1"/>
  <c r="B134" i="1"/>
  <c r="C133" i="1"/>
  <c r="C111" i="1"/>
  <c r="B112" i="1"/>
  <c r="B90" i="1"/>
  <c r="C89" i="1"/>
  <c r="C67" i="1"/>
  <c r="B68" i="1"/>
  <c r="E138" i="1"/>
  <c r="F139" i="1"/>
  <c r="F137" i="1"/>
  <c r="F72" i="1"/>
  <c r="G73" i="1"/>
  <c r="G71" i="1"/>
  <c r="C156" i="1"/>
  <c r="B157" i="1"/>
  <c r="B135" i="1"/>
  <c r="C134" i="1"/>
  <c r="B113" i="1"/>
  <c r="C112" i="1"/>
  <c r="B91" i="1"/>
  <c r="C90" i="1"/>
  <c r="B69" i="1"/>
  <c r="C68" i="1"/>
  <c r="E139" i="1"/>
  <c r="E137" i="1"/>
  <c r="E72" i="1"/>
  <c r="F73" i="1"/>
  <c r="F71" i="1"/>
  <c r="B158" i="1"/>
  <c r="C157" i="1"/>
  <c r="B136" i="1"/>
  <c r="C135" i="1"/>
  <c r="C113" i="1"/>
  <c r="B114" i="1"/>
  <c r="B92" i="1"/>
  <c r="C91" i="1"/>
  <c r="C69" i="1"/>
  <c r="B70" i="1"/>
  <c r="E73" i="1"/>
  <c r="E71" i="1"/>
  <c r="B159" i="1"/>
  <c r="C158" i="1"/>
  <c r="B137" i="1"/>
  <c r="C136" i="1"/>
  <c r="C114" i="1"/>
  <c r="B115" i="1"/>
  <c r="C92" i="1"/>
  <c r="B93" i="1"/>
  <c r="C70" i="1"/>
  <c r="B71" i="1"/>
  <c r="B116" i="1"/>
  <c r="B160" i="1"/>
  <c r="C159" i="1"/>
  <c r="B138" i="1"/>
  <c r="C137" i="1"/>
  <c r="C115" i="1"/>
  <c r="B94" i="1"/>
  <c r="C93" i="1"/>
  <c r="C71" i="1"/>
  <c r="B72" i="1"/>
  <c r="B117" i="1"/>
  <c r="B139" i="1"/>
  <c r="B161" i="1"/>
  <c r="B95" i="1"/>
  <c r="B73" i="1"/>
  <c r="B118" i="1"/>
  <c r="C160" i="1"/>
  <c r="C138" i="1"/>
  <c r="C116" i="1"/>
  <c r="C94" i="1"/>
  <c r="C72" i="1"/>
  <c r="B140" i="1"/>
  <c r="B96" i="1"/>
  <c r="B74" i="1"/>
  <c r="B162" i="1"/>
  <c r="C73" i="1"/>
  <c r="C95" i="1"/>
  <c r="C139" i="1"/>
  <c r="C161" i="1"/>
  <c r="C117" i="1"/>
  <c r="B163" i="1"/>
  <c r="B119" i="1"/>
  <c r="B141" i="1"/>
  <c r="B97" i="1"/>
  <c r="B75" i="1"/>
  <c r="C74" i="1"/>
  <c r="C96" i="1"/>
  <c r="C140" i="1"/>
  <c r="C162" i="1"/>
  <c r="C118" i="1"/>
  <c r="B76" i="1"/>
  <c r="C141" i="1"/>
  <c r="B142" i="1"/>
  <c r="B98" i="1"/>
  <c r="H43" i="1" a="1"/>
  <c r="H43" i="1"/>
  <c r="H16" i="1"/>
  <c r="C97" i="1"/>
  <c r="B164" i="1"/>
  <c r="B120" i="1"/>
  <c r="L44" i="1" a="1"/>
  <c r="L44" i="1"/>
  <c r="L17" i="1"/>
  <c r="C75" i="1"/>
  <c r="C119" i="1"/>
  <c r="C163" i="1"/>
  <c r="L43" i="1" a="1"/>
  <c r="L43" i="1"/>
  <c r="L16" i="1"/>
  <c r="F44" i="1" a="1"/>
  <c r="F44" i="1"/>
  <c r="F17" i="1"/>
  <c r="F30" i="1"/>
  <c r="G44" i="1" a="1"/>
  <c r="G44" i="1"/>
  <c r="G17" i="1"/>
  <c r="G30" i="1"/>
  <c r="E44" i="1" a="1"/>
  <c r="E44" i="1"/>
  <c r="E17" i="1"/>
  <c r="E30" i="1"/>
  <c r="I44" i="1" a="1"/>
  <c r="I44" i="1"/>
  <c r="I17" i="1"/>
  <c r="J44" i="1" a="1"/>
  <c r="J44" i="1"/>
  <c r="J17" i="1"/>
  <c r="I30" i="1"/>
  <c r="K44" i="1" a="1"/>
  <c r="K44" i="1"/>
  <c r="K17" i="1"/>
  <c r="J30" i="1"/>
  <c r="H44" i="1" a="1"/>
  <c r="H44" i="1"/>
  <c r="H17" i="1"/>
  <c r="I43" i="1" a="1"/>
  <c r="I43" i="1"/>
  <c r="I16" i="1"/>
  <c r="E43" i="1" a="1"/>
  <c r="E43" i="1"/>
  <c r="E16" i="1"/>
  <c r="C164" i="1"/>
  <c r="C142" i="1"/>
  <c r="C120" i="1"/>
  <c r="C98" i="1"/>
  <c r="J51" i="1" a="1"/>
  <c r="J51" i="1"/>
  <c r="I27" i="1"/>
  <c r="C76" i="1"/>
  <c r="K50" i="1" a="1"/>
  <c r="K50" i="1"/>
  <c r="J42" i="1" a="1"/>
  <c r="J42" i="1"/>
  <c r="J15" i="1"/>
  <c r="K42" i="1" a="1"/>
  <c r="K42" i="1"/>
  <c r="K15" i="1"/>
  <c r="I42" i="1" a="1"/>
  <c r="I42" i="1"/>
  <c r="I15" i="1"/>
  <c r="L42" i="1" a="1"/>
  <c r="L42" i="1"/>
  <c r="L15" i="1"/>
  <c r="G42" i="1" a="1"/>
  <c r="G42" i="1"/>
  <c r="G15" i="1"/>
  <c r="H42" i="1" a="1"/>
  <c r="H42" i="1"/>
  <c r="H15" i="1"/>
  <c r="E42" i="1" a="1"/>
  <c r="E42" i="1"/>
  <c r="E15" i="1"/>
  <c r="F42" i="1" a="1"/>
  <c r="F42" i="1"/>
  <c r="F15" i="1"/>
  <c r="G43" i="1" a="1"/>
  <c r="G43" i="1"/>
  <c r="G16" i="1"/>
  <c r="J43" i="1" a="1"/>
  <c r="J43" i="1"/>
  <c r="J16" i="1"/>
  <c r="K43" i="1" a="1"/>
  <c r="K43" i="1"/>
  <c r="K16" i="1"/>
  <c r="G46" i="1" a="1"/>
  <c r="G46" i="1"/>
  <c r="G19" i="1"/>
  <c r="F46" i="1" a="1"/>
  <c r="F46" i="1"/>
  <c r="F19" i="1"/>
  <c r="K46" i="1" a="1"/>
  <c r="K46" i="1"/>
  <c r="K19" i="1"/>
  <c r="H46" i="1" a="1"/>
  <c r="H46" i="1"/>
  <c r="H19" i="1"/>
  <c r="L46" i="1" a="1"/>
  <c r="L46" i="1"/>
  <c r="L19" i="1"/>
  <c r="J46" i="1" a="1"/>
  <c r="J46" i="1"/>
  <c r="J19" i="1"/>
  <c r="I46" i="1" a="1"/>
  <c r="I46" i="1"/>
  <c r="I19" i="1"/>
  <c r="E46" i="1" a="1"/>
  <c r="E46" i="1"/>
  <c r="E19" i="1"/>
  <c r="H45" i="1" a="1"/>
  <c r="H45" i="1"/>
  <c r="H18" i="1"/>
  <c r="L45" i="1" a="1"/>
  <c r="L45" i="1"/>
  <c r="L18" i="1"/>
  <c r="J45" i="1" a="1"/>
  <c r="J45" i="1"/>
  <c r="J18" i="1"/>
  <c r="G45" i="1" a="1"/>
  <c r="G45" i="1"/>
  <c r="G18" i="1"/>
  <c r="K45" i="1" a="1"/>
  <c r="K45" i="1"/>
  <c r="K18" i="1"/>
  <c r="I45" i="1" a="1"/>
  <c r="I45" i="1"/>
  <c r="I18" i="1"/>
  <c r="F45" i="1" a="1"/>
  <c r="F45" i="1"/>
  <c r="F18" i="1"/>
  <c r="E45" i="1" a="1"/>
  <c r="E45" i="1"/>
  <c r="E18" i="1"/>
  <c r="F43" i="1" a="1"/>
  <c r="F43" i="1"/>
  <c r="F16" i="1"/>
  <c r="H30" i="1"/>
  <c r="E50" i="1" a="1"/>
  <c r="E50" i="1"/>
  <c r="H53" i="1" a="1"/>
  <c r="H53" i="1"/>
  <c r="E53" i="1" a="1"/>
  <c r="E53" i="1"/>
  <c r="L53" i="1" a="1"/>
  <c r="L53" i="1"/>
  <c r="K53" i="1" a="1"/>
  <c r="K53" i="1"/>
  <c r="J53" i="1" a="1"/>
  <c r="J53" i="1"/>
  <c r="I29" i="1"/>
  <c r="F53" i="1" a="1"/>
  <c r="F53" i="1"/>
  <c r="G53" i="1" a="1"/>
  <c r="G53" i="1"/>
  <c r="G29" i="1"/>
  <c r="I53" i="1" a="1"/>
  <c r="I53" i="1"/>
  <c r="L52" i="1" a="1"/>
  <c r="L52" i="1"/>
  <c r="E52" i="1" a="1"/>
  <c r="E52" i="1"/>
  <c r="K52" i="1" a="1"/>
  <c r="K52" i="1"/>
  <c r="H52" i="1" a="1"/>
  <c r="H52" i="1"/>
  <c r="G52" i="1" a="1"/>
  <c r="G52" i="1"/>
  <c r="G28" i="1"/>
  <c r="I52" i="1" a="1"/>
  <c r="I52" i="1"/>
  <c r="J52" i="1" a="1"/>
  <c r="J52" i="1"/>
  <c r="I28" i="1"/>
  <c r="F52" i="1" a="1"/>
  <c r="F52" i="1"/>
  <c r="G51" i="1" a="1"/>
  <c r="G51" i="1"/>
  <c r="G27" i="1"/>
  <c r="K51" i="1" a="1"/>
  <c r="K51" i="1"/>
  <c r="F51" i="1" a="1"/>
  <c r="F51" i="1"/>
  <c r="E51" i="1" a="1"/>
  <c r="E51" i="1"/>
  <c r="I51" i="1" a="1"/>
  <c r="I51" i="1"/>
  <c r="L51" i="1" a="1"/>
  <c r="L51" i="1"/>
  <c r="H51" i="1" a="1"/>
  <c r="H51" i="1"/>
  <c r="F50" i="1" a="1"/>
  <c r="F50" i="1"/>
  <c r="H50" i="1" a="1"/>
  <c r="H50" i="1"/>
  <c r="J50" i="1" a="1"/>
  <c r="J50" i="1"/>
  <c r="I26" i="1"/>
  <c r="G50" i="1" a="1"/>
  <c r="G50" i="1"/>
  <c r="G26" i="1"/>
  <c r="I50" i="1" a="1"/>
  <c r="I50" i="1"/>
  <c r="L50" i="1" a="1"/>
  <c r="L50" i="1"/>
  <c r="J26" i="1"/>
  <c r="H54" i="1" a="1"/>
  <c r="H54" i="1"/>
  <c r="I54" i="1" a="1"/>
  <c r="I54" i="1"/>
  <c r="L54" i="1" a="1"/>
  <c r="L54" i="1"/>
  <c r="K54" i="1" a="1"/>
  <c r="K54" i="1"/>
  <c r="G54" i="1" a="1"/>
  <c r="G54" i="1"/>
  <c r="G31" i="1"/>
  <c r="E54" i="1" a="1"/>
  <c r="E54" i="1"/>
  <c r="J54" i="1" a="1"/>
  <c r="J54" i="1"/>
  <c r="I31" i="1"/>
  <c r="F54" i="1" a="1"/>
  <c r="F54" i="1"/>
  <c r="H31" i="1"/>
  <c r="J31" i="1"/>
  <c r="E31" i="1"/>
  <c r="F31" i="1"/>
  <c r="J28" i="1"/>
  <c r="H26" i="1"/>
  <c r="E27" i="1"/>
  <c r="F27" i="1"/>
  <c r="H27" i="1"/>
  <c r="J29" i="1"/>
  <c r="H29" i="1"/>
  <c r="E26" i="1"/>
  <c r="F26" i="1"/>
  <c r="H28" i="1"/>
  <c r="E28" i="1"/>
  <c r="F28" i="1"/>
  <c r="E29" i="1"/>
  <c r="F29" i="1"/>
  <c r="J27" i="1"/>
</calcChain>
</file>

<file path=xl/comments1.xml><?xml version="1.0" encoding="utf-8"?>
<comments xmlns="http://schemas.openxmlformats.org/spreadsheetml/2006/main">
  <authors>
    <author>DORSEY</author>
    <author>cdorsey</author>
    <author>TDHCA</author>
    <author>snaquin</author>
    <author>wquacken</author>
  </authors>
  <commentList>
    <comment ref="E63" author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text>
        <r>
          <rPr>
            <b/>
            <sz val="8"/>
            <color indexed="81"/>
            <rFont val="Tahoma"/>
            <family val="2"/>
          </rPr>
          <t>cdorsey:</t>
        </r>
        <r>
          <rPr>
            <sz val="8"/>
            <color indexed="81"/>
            <rFont val="Tahoma"/>
            <family val="2"/>
          </rPr>
          <t xml:space="preserve">
2013 National Non-Metro</t>
        </r>
      </text>
    </comment>
    <comment ref="S178" authorId="2">
      <text>
        <r>
          <rPr>
            <b/>
            <sz val="8"/>
            <color indexed="81"/>
            <rFont val="Tahoma"/>
            <family val="2"/>
          </rPr>
          <t>TDHCA:</t>
        </r>
        <r>
          <rPr>
            <sz val="8"/>
            <color indexed="81"/>
            <rFont val="Tahoma"/>
            <family val="2"/>
          </rPr>
          <t xml:space="preserve">
AMI FY2014</t>
        </r>
      </text>
    </comment>
    <comment ref="AL178" authorId="2">
      <text>
        <r>
          <rPr>
            <b/>
            <sz val="8"/>
            <color indexed="81"/>
            <rFont val="Tahoma"/>
            <family val="2"/>
          </rPr>
          <t>TDHCA:</t>
        </r>
        <r>
          <rPr>
            <sz val="8"/>
            <color indexed="81"/>
            <rFont val="Tahoma"/>
            <family val="2"/>
          </rPr>
          <t xml:space="preserve">
2014 National Non-metro</t>
        </r>
      </text>
    </comment>
    <comment ref="S180" authorId="2">
      <text>
        <r>
          <rPr>
            <b/>
            <sz val="8"/>
            <color indexed="81"/>
            <rFont val="Tahoma"/>
            <family val="2"/>
          </rPr>
          <t>TDHCA:</t>
        </r>
        <r>
          <rPr>
            <sz val="8"/>
            <color indexed="81"/>
            <rFont val="Tahoma"/>
            <family val="2"/>
          </rPr>
          <t xml:space="preserve">
AMI FY2015</t>
        </r>
      </text>
    </comment>
    <comment ref="AL180" authorId="3">
      <text>
        <r>
          <rPr>
            <b/>
            <sz val="9"/>
            <color indexed="81"/>
            <rFont val="Tahoma"/>
            <family val="2"/>
          </rPr>
          <t>snaquin:</t>
        </r>
        <r>
          <rPr>
            <sz val="9"/>
            <color indexed="81"/>
            <rFont val="Tahoma"/>
            <family val="2"/>
          </rPr>
          <t xml:space="preserve">
2015 National Non-metro</t>
        </r>
      </text>
    </comment>
    <comment ref="S182" authorId="2">
      <text>
        <r>
          <rPr>
            <b/>
            <sz val="8"/>
            <color indexed="81"/>
            <rFont val="Tahoma"/>
            <family val="2"/>
          </rPr>
          <t>TDHCA:</t>
        </r>
        <r>
          <rPr>
            <sz val="8"/>
            <color indexed="81"/>
            <rFont val="Tahoma"/>
            <family val="2"/>
          </rPr>
          <t xml:space="preserve">
AMI FY2016</t>
        </r>
      </text>
    </comment>
    <comment ref="AL182" authorId="3">
      <text>
        <r>
          <rPr>
            <b/>
            <sz val="9"/>
            <color indexed="81"/>
            <rFont val="Tahoma"/>
            <family val="2"/>
          </rPr>
          <t>snaquin:</t>
        </r>
        <r>
          <rPr>
            <sz val="9"/>
            <color indexed="81"/>
            <rFont val="Tahoma"/>
            <family val="2"/>
          </rPr>
          <t xml:space="preserve">
2016 National Non-metro</t>
        </r>
      </text>
    </comment>
    <comment ref="S184" authorId="3">
      <text>
        <r>
          <rPr>
            <b/>
            <sz val="9"/>
            <color indexed="81"/>
            <rFont val="Tahoma"/>
            <family val="2"/>
          </rPr>
          <t>snaquin:</t>
        </r>
        <r>
          <rPr>
            <sz val="9"/>
            <color indexed="81"/>
            <rFont val="Tahoma"/>
            <family val="2"/>
          </rPr>
          <t xml:space="preserve">
2017 AMI</t>
        </r>
      </text>
    </comment>
    <comment ref="AL184" authorId="3">
      <text>
        <r>
          <rPr>
            <b/>
            <sz val="9"/>
            <color indexed="81"/>
            <rFont val="Tahoma"/>
            <family val="2"/>
          </rPr>
          <t>snaquin:</t>
        </r>
        <r>
          <rPr>
            <sz val="9"/>
            <color indexed="81"/>
            <rFont val="Tahoma"/>
            <family val="2"/>
          </rPr>
          <t xml:space="preserve">
2017 national non metro</t>
        </r>
      </text>
    </comment>
    <comment ref="AL186" authorId="4">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<sst xmlns="http://schemas.openxmlformats.org/spreadsheetml/2006/main" count="35235" uniqueCount="3008">
  <si>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</si>
  <si>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</si>
  <si>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</si>
  <si>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</si>
  <si>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</si>
  <si>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</si>
  <si>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</si>
  <si>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</si>
  <si>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</si>
  <si>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</si>
  <si>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</si>
  <si>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</si>
  <si>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</si>
  <si>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</si>
  <si>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</si>
  <si>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</si>
  <si>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</si>
  <si>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</si>
  <si>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</si>
  <si>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</si>
  <si>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</si>
  <si>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</si>
  <si>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</si>
  <si>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</si>
  <si>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</si>
  <si>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</si>
  <si>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</si>
  <si>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</si>
  <si>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</si>
  <si>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</si>
  <si>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</si>
  <si>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</si>
  <si>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</si>
  <si>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</si>
  <si>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</si>
  <si>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</si>
  <si>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</si>
  <si>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</si>
  <si>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</si>
  <si>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</si>
  <si>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</si>
  <si>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</si>
  <si>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</si>
  <si>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</si>
  <si>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</si>
  <si>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</si>
  <si>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</si>
  <si>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</si>
  <si>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</si>
  <si>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</si>
  <si>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</si>
  <si>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</si>
  <si>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</si>
  <si>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</si>
  <si>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</si>
  <si>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</si>
  <si>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</si>
  <si>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</si>
  <si>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</si>
  <si>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</si>
  <si>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</si>
  <si>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</si>
  <si>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</si>
  <si>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</si>
  <si>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</si>
  <si>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</si>
  <si>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</si>
  <si>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</si>
  <si>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</si>
  <si>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</si>
  <si>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</si>
  <si>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</si>
  <si>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</si>
  <si>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</si>
  <si>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</si>
  <si>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</si>
  <si>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</si>
  <si>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</si>
  <si>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</si>
  <si>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</si>
  <si>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</si>
  <si>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</si>
  <si>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</si>
  <si>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</si>
  <si>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</si>
  <si>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</si>
  <si>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</si>
  <si>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</si>
  <si>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</si>
  <si>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</si>
  <si>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</si>
  <si>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</si>
  <si>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</si>
  <si>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</si>
  <si>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</si>
  <si>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</si>
  <si>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</si>
  <si>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</si>
  <si>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</si>
  <si>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</si>
  <si>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</si>
  <si>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</si>
  <si>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</si>
  <si>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</si>
  <si>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</si>
  <si>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</si>
  <si>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</si>
  <si>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</si>
  <si>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</si>
  <si>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</si>
  <si>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</si>
  <si>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</si>
  <si>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</si>
  <si>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</si>
  <si>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</si>
  <si>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</si>
  <si>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</si>
  <si>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</si>
  <si>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</si>
  <si>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</si>
  <si>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</si>
  <si>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</si>
  <si>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</si>
  <si>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</si>
  <si>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</si>
  <si>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</si>
  <si>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</si>
  <si>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</si>
  <si>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</si>
  <si>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</si>
  <si>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</si>
  <si>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</si>
  <si>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</si>
  <si>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</si>
  <si>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</si>
  <si>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</si>
  <si>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</si>
  <si>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</si>
  <si>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</si>
  <si>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</si>
  <si>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</si>
  <si>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</si>
  <si>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</si>
  <si>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</si>
  <si>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</si>
  <si>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</si>
  <si>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</si>
  <si>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</si>
  <si>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</si>
  <si>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</si>
  <si>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</si>
  <si>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</si>
  <si>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</si>
  <si>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</si>
  <si>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</si>
  <si>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</si>
  <si>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</si>
  <si>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</si>
  <si>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</si>
  <si>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</si>
  <si>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</si>
  <si>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</si>
  <si>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</si>
  <si>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</si>
  <si>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</si>
  <si>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</si>
  <si>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</si>
  <si>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</si>
  <si>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</si>
  <si>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</si>
  <si>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</si>
  <si>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</si>
  <si>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</si>
  <si>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</si>
  <si>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</si>
  <si>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</si>
  <si>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</si>
  <si>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</si>
  <si>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</si>
  <si>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</si>
  <si>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</si>
  <si>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</si>
  <si>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</si>
  <si>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</si>
  <si>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</si>
  <si>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</si>
  <si>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</si>
  <si>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</si>
  <si>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</si>
  <si>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</si>
  <si>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</si>
  <si>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</si>
  <si>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</si>
  <si>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</si>
  <si>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</si>
  <si>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</si>
  <si>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</si>
  <si>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</si>
  <si>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</si>
  <si>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</si>
  <si>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</si>
  <si>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</si>
  <si>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</si>
  <si>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</si>
  <si>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</si>
  <si>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</si>
  <si>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</si>
  <si>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</si>
  <si>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</si>
  <si>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</si>
  <si>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</si>
  <si>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</si>
  <si>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</si>
  <si>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</si>
  <si>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</si>
  <si>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</si>
  <si>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</si>
  <si>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</si>
  <si>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</si>
  <si>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</si>
  <si>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</si>
  <si>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</si>
  <si>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</si>
  <si>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</si>
  <si>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</si>
  <si>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</si>
  <si>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</si>
  <si>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</si>
  <si>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</si>
  <si>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</si>
  <si>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</si>
  <si>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</si>
  <si>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</si>
  <si>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</si>
  <si>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</si>
  <si>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</si>
  <si>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</si>
  <si>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</si>
  <si>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</si>
  <si>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</si>
  <si>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</si>
  <si>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</si>
  <si>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</si>
  <si>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</si>
  <si>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</si>
  <si>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</si>
  <si>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</si>
  <si>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</si>
  <si>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</si>
  <si>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</si>
  <si>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</si>
  <si>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</si>
  <si>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</si>
  <si>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</si>
  <si>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</si>
  <si>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</si>
  <si>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</si>
  <si>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</si>
  <si>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</si>
  <si>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</si>
  <si>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</si>
  <si>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</si>
  <si>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</si>
  <si>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</si>
  <si>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</si>
  <si>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</si>
  <si>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</si>
  <si>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</si>
  <si>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</si>
  <si>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</si>
  <si>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</si>
  <si>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</si>
  <si>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</si>
  <si>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</si>
  <si>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</si>
  <si>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</si>
  <si>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</si>
  <si>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</si>
  <si>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</si>
  <si>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</si>
  <si>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</si>
  <si>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</si>
  <si>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</si>
  <si>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</si>
  <si>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</si>
  <si>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</si>
  <si>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</si>
  <si>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</si>
  <si>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</si>
  <si>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</si>
  <si>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</si>
  <si>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</si>
  <si>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</si>
  <si>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</si>
  <si>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</si>
  <si>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</si>
  <si>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</si>
  <si>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</si>
  <si>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</si>
  <si>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</si>
  <si>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</si>
  <si>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</si>
  <si>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</si>
  <si>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</si>
  <si>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</si>
  <si>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</si>
  <si>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</si>
  <si>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</si>
  <si>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</si>
  <si>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</si>
  <si>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</si>
  <si>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</si>
  <si>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</si>
  <si>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</si>
  <si>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</si>
  <si>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</si>
  <si>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</si>
  <si>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</si>
  <si>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</si>
  <si>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</si>
  <si>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</si>
  <si>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</si>
  <si>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</si>
  <si>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</si>
  <si>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</si>
  <si>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</si>
  <si>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</si>
  <si>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</si>
  <si>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</si>
  <si>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</si>
  <si>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</si>
  <si>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</si>
  <si>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</si>
  <si>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</si>
  <si>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</si>
  <si>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</si>
  <si>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</si>
  <si>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</si>
  <si>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</si>
  <si>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</si>
  <si>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</si>
  <si>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</si>
  <si>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</si>
  <si>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</si>
  <si>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</si>
  <si>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</si>
  <si>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</si>
  <si>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</si>
  <si>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</si>
  <si>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</si>
  <si>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</si>
  <si>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</si>
  <si>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</si>
  <si>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</si>
  <si>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</si>
  <si>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</si>
  <si>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</si>
  <si>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</si>
  <si>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</si>
  <si>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</si>
  <si>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</si>
  <si>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</si>
  <si>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</si>
  <si>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</si>
  <si>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</si>
  <si>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</si>
  <si>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</si>
  <si>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</si>
  <si>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</si>
  <si>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</si>
  <si>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</si>
  <si>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</si>
  <si>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</si>
  <si>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</si>
  <si>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</si>
  <si>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</si>
  <si>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</si>
  <si>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</si>
  <si>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</si>
  <si>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</si>
  <si>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</si>
  <si>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</si>
  <si>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</si>
  <si>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</si>
  <si>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</si>
  <si>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</si>
  <si>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</si>
  <si>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</si>
  <si>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</si>
  <si>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</si>
  <si>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</si>
  <si>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</si>
  <si>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</si>
  <si>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</si>
  <si>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</si>
  <si>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</si>
  <si>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</si>
  <si>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</si>
  <si>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</si>
  <si>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</si>
  <si>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</si>
  <si>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</si>
  <si>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</si>
  <si>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</si>
  <si>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</si>
  <si>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</si>
  <si>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</si>
  <si>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</si>
  <si>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</si>
  <si>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</si>
  <si>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</si>
  <si>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</si>
  <si>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</si>
  <si>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</si>
  <si>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</si>
  <si>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</si>
  <si>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</si>
  <si>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</si>
  <si>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</si>
  <si>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</si>
  <si>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</si>
  <si>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</si>
  <si>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</si>
  <si>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</si>
  <si>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</si>
  <si>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</si>
  <si>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</si>
  <si>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</si>
  <si>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</si>
  <si>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</si>
  <si>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</si>
  <si>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</si>
  <si>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</si>
  <si>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</si>
  <si>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</si>
  <si>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</si>
  <si>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</si>
  <si>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</si>
  <si>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</si>
  <si>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</si>
  <si>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</si>
  <si>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</si>
  <si>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</si>
  <si>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</si>
  <si>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</si>
  <si>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</si>
  <si>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</si>
  <si>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</si>
  <si>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</si>
  <si>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</si>
  <si>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</si>
  <si>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</si>
  <si>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</si>
  <si>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</si>
  <si>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</si>
  <si>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</si>
  <si>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</si>
  <si>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</si>
  <si>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</si>
  <si>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</si>
  <si>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</si>
  <si>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</si>
  <si>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</si>
  <si>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</si>
  <si>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</si>
  <si>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</si>
  <si>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</si>
  <si>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</si>
  <si>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</si>
  <si>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</si>
  <si>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</si>
  <si>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</si>
  <si>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</si>
  <si>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</si>
  <si>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</si>
  <si>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</si>
  <si>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</si>
  <si>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</si>
  <si>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</si>
  <si>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</si>
  <si>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</si>
  <si>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</si>
  <si>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</si>
  <si>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</si>
  <si>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</si>
  <si>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</si>
  <si>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</si>
  <si>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</si>
  <si>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</si>
  <si>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</si>
  <si>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</si>
  <si>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</si>
  <si>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</si>
  <si>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</si>
  <si>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</si>
  <si>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</si>
  <si>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</si>
  <si>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</si>
  <si>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</si>
  <si>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</si>
  <si>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</si>
  <si>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</si>
  <si>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</si>
  <si>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</si>
  <si>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</si>
  <si>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</si>
  <si>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</si>
  <si>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</si>
  <si>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</si>
  <si>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</si>
  <si>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</si>
  <si>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</si>
  <si>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</si>
  <si>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</si>
  <si>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</si>
  <si>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</si>
  <si>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</si>
  <si>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</si>
  <si>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</si>
  <si>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</si>
  <si>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</si>
  <si>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</si>
  <si>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</si>
  <si>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</si>
  <si>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</si>
  <si>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</si>
  <si>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</si>
  <si>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</si>
  <si>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</si>
  <si>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</si>
  <si>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</si>
  <si>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</si>
  <si>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</si>
  <si>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</si>
  <si>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</si>
  <si>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</si>
  <si>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</si>
  <si>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</si>
  <si>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</si>
  <si>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</si>
  <si>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</si>
  <si>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</si>
  <si>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</si>
  <si>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</si>
  <si>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</si>
  <si>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</si>
  <si>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</si>
  <si>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</si>
  <si>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</si>
  <si>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</si>
  <si>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</si>
  <si>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</si>
  <si>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</si>
  <si>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</si>
  <si>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</si>
  <si>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</si>
  <si>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</si>
  <si>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</si>
  <si>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</si>
  <si>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</si>
  <si>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</si>
  <si>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</si>
  <si>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</si>
  <si>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</si>
  <si>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</si>
  <si>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</si>
  <si>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</si>
  <si>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</si>
  <si>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</si>
  <si>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</si>
  <si>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</si>
  <si>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</si>
  <si>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</si>
  <si>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</si>
  <si>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</si>
  <si>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</si>
  <si>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</si>
  <si>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</si>
  <si>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</si>
  <si>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</si>
  <si>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</si>
  <si>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</si>
  <si>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</si>
  <si>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</si>
  <si>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</si>
  <si>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</si>
  <si>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</si>
  <si>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</si>
  <si>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</si>
  <si>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</si>
  <si>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</si>
  <si>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</si>
  <si>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</si>
  <si>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</si>
  <si>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</si>
  <si>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</si>
  <si>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</si>
  <si>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</si>
  <si>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</si>
  <si>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</si>
  <si>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</si>
  <si>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</si>
  <si>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</si>
  <si>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</si>
  <si>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</si>
  <si>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</si>
  <si>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</si>
  <si>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</si>
  <si>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</si>
  <si>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</si>
  <si>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</si>
  <si>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</si>
  <si>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</si>
  <si>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</si>
  <si>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</si>
  <si>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</si>
  <si>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</si>
  <si>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</si>
  <si>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</si>
  <si>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</si>
  <si>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</si>
  <si>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</si>
  <si>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</si>
  <si>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</si>
  <si>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</si>
  <si>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</si>
  <si>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</si>
  <si>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</si>
  <si>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</si>
  <si>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</si>
  <si>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</si>
  <si>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</si>
  <si>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</si>
  <si>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</si>
  <si>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</si>
  <si>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</si>
  <si>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</si>
  <si>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</si>
  <si>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</si>
  <si>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</si>
  <si>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</si>
  <si>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</si>
  <si>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</si>
  <si>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</si>
  <si>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</si>
  <si>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</si>
  <si>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</si>
  <si>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</si>
  <si>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</si>
  <si>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</si>
  <si>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</si>
  <si>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</si>
  <si>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</si>
  <si>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</si>
  <si>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</si>
  <si>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</si>
  <si>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</si>
  <si>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</si>
  <si>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</si>
  <si>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</si>
  <si>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</si>
  <si>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</si>
  <si>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</si>
  <si>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</si>
  <si>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</si>
  <si>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</si>
  <si>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</si>
  <si>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</si>
  <si>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</si>
  <si>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</si>
  <si>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</si>
  <si>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</si>
  <si>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</si>
  <si>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</si>
  <si>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</si>
  <si>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</si>
  <si>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</si>
  <si>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</si>
  <si>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</si>
  <si>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</si>
  <si>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</si>
  <si>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</si>
  <si>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</si>
  <si>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</si>
  <si>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</si>
  <si>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</si>
  <si>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</si>
  <si>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</si>
  <si>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</si>
  <si>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</si>
  <si>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</si>
  <si>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</si>
  <si>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</si>
  <si>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</si>
  <si>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</si>
  <si>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</si>
  <si>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</si>
  <si>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</si>
  <si>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</si>
  <si>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</si>
  <si>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</si>
  <si>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</si>
  <si>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</si>
  <si>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</si>
  <si>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</si>
  <si>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</si>
  <si>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</si>
  <si>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</si>
  <si>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</si>
  <si>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</si>
  <si>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</si>
  <si>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</si>
  <si>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</si>
  <si>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</si>
  <si>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</si>
  <si>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</si>
  <si>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</si>
  <si>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</si>
  <si>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</si>
  <si>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</si>
  <si>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</si>
  <si>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</si>
  <si>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</si>
  <si>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</si>
  <si>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</si>
  <si>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</si>
  <si>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</si>
  <si>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</si>
  <si>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</si>
  <si>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</si>
  <si>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</si>
  <si>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</si>
  <si>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</si>
  <si>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</si>
  <si>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</si>
  <si>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</si>
  <si>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</si>
  <si>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</si>
  <si>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</si>
  <si>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</si>
  <si>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</si>
  <si>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</si>
  <si>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</si>
  <si>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</si>
  <si>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</si>
  <si>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</si>
  <si>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</si>
  <si>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</si>
  <si>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</si>
  <si>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</si>
  <si>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</si>
  <si>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</si>
  <si>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</si>
  <si>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</si>
  <si>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</si>
  <si>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</si>
  <si>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</si>
  <si>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</si>
  <si>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</si>
  <si>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</si>
  <si>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</si>
  <si>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</si>
  <si>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</si>
  <si>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</si>
  <si>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</si>
  <si>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</si>
  <si>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</si>
  <si>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</si>
  <si>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</si>
  <si>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</si>
  <si>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</si>
  <si>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</si>
  <si>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</si>
  <si>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</si>
  <si>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</si>
  <si>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</si>
  <si>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</si>
  <si>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</si>
  <si>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</si>
  <si>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</si>
  <si>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</si>
  <si>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</si>
  <si>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</si>
  <si>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</si>
  <si>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</si>
  <si>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</si>
  <si>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</si>
  <si>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</si>
  <si>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</si>
  <si>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</si>
  <si>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</si>
  <si>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</si>
  <si>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</si>
  <si>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</si>
  <si>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</si>
  <si>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</si>
  <si>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</si>
  <si>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</si>
  <si>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</si>
  <si>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</si>
  <si>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</si>
  <si>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</si>
  <si>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</si>
  <si>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</si>
  <si>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</si>
  <si>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</si>
  <si>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</si>
  <si>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</si>
  <si>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</si>
  <si>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</si>
  <si>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</si>
  <si>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</si>
  <si>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</si>
  <si>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</si>
  <si>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</si>
  <si>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</si>
  <si>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</si>
  <si>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</si>
  <si>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</si>
  <si>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</si>
  <si>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</si>
  <si>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</si>
  <si>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</si>
  <si>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</si>
  <si>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</si>
  <si>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</si>
  <si>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</si>
  <si>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</si>
  <si>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</si>
  <si>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</si>
  <si>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</si>
  <si>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</si>
  <si>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</si>
  <si>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</si>
  <si>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</si>
  <si>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</si>
  <si>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</si>
  <si>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</si>
  <si>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</si>
  <si>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</si>
  <si>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</si>
  <si>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</si>
  <si>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</si>
  <si>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</si>
  <si>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</si>
  <si>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</si>
  <si>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</si>
  <si>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</si>
  <si>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</si>
  <si>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</si>
  <si>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</si>
  <si>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</si>
  <si>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</si>
  <si>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</si>
  <si>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</si>
  <si>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</si>
  <si>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</si>
  <si>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</si>
  <si>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</si>
  <si>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</si>
  <si>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</si>
  <si>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</si>
  <si>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</si>
  <si>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</si>
  <si>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</si>
  <si>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</si>
  <si>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</si>
  <si>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</si>
  <si>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</si>
  <si>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</si>
  <si>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</si>
  <si>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</si>
  <si>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</si>
  <si>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</si>
  <si>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</si>
  <si>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</si>
  <si>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</si>
  <si>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</si>
  <si>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</si>
  <si>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</si>
  <si>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</si>
  <si>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</si>
  <si>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</si>
  <si>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</si>
  <si>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</si>
  <si>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</si>
  <si>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</si>
  <si>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</si>
  <si>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</si>
  <si>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</si>
  <si>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</si>
  <si>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</si>
  <si>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</si>
  <si>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</si>
  <si>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</si>
  <si>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</si>
  <si>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</si>
  <si>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</si>
  <si>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</si>
  <si>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</si>
  <si>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</si>
  <si>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</si>
  <si>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</si>
  <si>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</si>
  <si>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</si>
  <si>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</si>
  <si>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</si>
  <si>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</si>
  <si>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</si>
  <si>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</si>
  <si>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</si>
  <si>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</si>
  <si>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</si>
  <si>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</si>
  <si>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</si>
  <si>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</si>
  <si>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</si>
  <si>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</si>
  <si>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</si>
  <si>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</si>
  <si>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</si>
  <si>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</si>
  <si>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</si>
  <si>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</si>
  <si>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</si>
  <si>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</si>
  <si>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</si>
  <si>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</si>
  <si>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</si>
  <si>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</si>
  <si>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</si>
  <si>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</si>
  <si>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</si>
  <si>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</si>
  <si>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</si>
  <si>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</si>
  <si>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</si>
  <si>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</si>
  <si>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</si>
  <si>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</si>
  <si>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</si>
  <si>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</si>
  <si>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</si>
  <si>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</si>
  <si>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</si>
  <si>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</si>
  <si>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</si>
  <si>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</si>
  <si>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</si>
  <si>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</si>
  <si>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</si>
  <si>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</si>
  <si>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</si>
  <si>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</si>
  <si>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</si>
  <si>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</si>
  <si>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</si>
  <si>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</si>
  <si>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</si>
  <si>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</si>
  <si>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</si>
  <si>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</si>
  <si>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</si>
  <si>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</si>
  <si>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</si>
  <si>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</si>
  <si>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</si>
  <si>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</si>
  <si>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</si>
  <si>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</si>
  <si>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</si>
  <si>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</si>
  <si>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</si>
  <si>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</si>
  <si>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</si>
  <si>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</si>
  <si>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</si>
  <si>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</si>
  <si>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</si>
  <si>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</si>
  <si>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</si>
  <si>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</si>
  <si>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</si>
  <si>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</si>
  <si>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</si>
  <si>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</si>
  <si>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</si>
  <si>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</si>
  <si>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</si>
  <si>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</si>
  <si>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</si>
  <si>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</si>
  <si>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</si>
  <si>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</si>
  <si>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</si>
  <si>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</si>
  <si>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</si>
  <si>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</si>
  <si>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</si>
  <si>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</si>
  <si>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</si>
  <si>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</si>
  <si>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</si>
  <si>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</si>
  <si>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</si>
  <si>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</si>
  <si>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</si>
  <si>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</si>
  <si>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</si>
  <si>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</si>
  <si>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</si>
  <si>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</si>
  <si>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</si>
  <si>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</si>
  <si>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</si>
  <si>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</si>
  <si>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</si>
  <si>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</si>
  <si>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</si>
  <si>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</si>
  <si>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</si>
  <si>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</si>
  <si>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</si>
  <si>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</si>
  <si>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</si>
  <si>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</si>
  <si>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</si>
  <si>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</si>
  <si>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</si>
  <si>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</si>
  <si>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</si>
  <si>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</si>
  <si>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</si>
  <si>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</si>
  <si>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</si>
  <si>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</si>
  <si>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</si>
  <si>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</si>
  <si>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</si>
  <si>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</si>
  <si>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</si>
  <si>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</si>
  <si>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</si>
  <si>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</si>
  <si>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</si>
  <si>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</si>
  <si>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</si>
  <si>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</si>
  <si>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</si>
  <si>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</si>
  <si>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</si>
  <si>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</si>
  <si>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</si>
  <si>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</si>
  <si>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</si>
  <si>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</si>
  <si>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</si>
  <si>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</si>
  <si>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</si>
  <si>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</si>
  <si>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</si>
  <si>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</si>
  <si>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</si>
  <si>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</si>
  <si>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</si>
  <si>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</si>
  <si>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</si>
  <si>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</si>
  <si>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</si>
  <si>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</si>
  <si>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</si>
  <si>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</si>
  <si>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</si>
  <si>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</si>
  <si>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</si>
  <si>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</si>
  <si>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</si>
  <si>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</si>
  <si>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</si>
  <si>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</si>
  <si>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</si>
  <si>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</si>
  <si>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</si>
  <si>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</si>
  <si>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</si>
  <si>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</si>
  <si>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</si>
  <si>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</si>
  <si>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</si>
  <si>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</si>
  <si>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</si>
  <si>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</si>
  <si>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</si>
  <si>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</si>
  <si>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</si>
  <si>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</si>
  <si>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</si>
  <si>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</si>
  <si>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</si>
  <si>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</si>
  <si>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</si>
  <si>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</si>
  <si>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</si>
  <si>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</si>
  <si>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</si>
  <si>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</si>
  <si>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</si>
  <si>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</si>
  <si>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</si>
  <si>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</si>
  <si>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</si>
  <si>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</si>
  <si>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</si>
  <si>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</si>
  <si>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</si>
  <si>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</si>
  <si>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</si>
  <si>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</si>
  <si>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</si>
  <si>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</si>
  <si>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</si>
  <si>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</si>
  <si>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</si>
  <si>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</si>
  <si>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</si>
  <si>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</si>
  <si>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</si>
  <si>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</si>
  <si>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</si>
  <si>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</si>
  <si>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</si>
  <si>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</si>
  <si>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</si>
  <si>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</si>
  <si>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</si>
  <si>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</si>
  <si>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</si>
  <si>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</si>
  <si>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</si>
  <si>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</si>
  <si>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</si>
  <si>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</si>
  <si>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</si>
  <si>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</si>
  <si>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</si>
  <si>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</si>
  <si>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</si>
  <si>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</si>
  <si>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</si>
  <si>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</si>
  <si>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</si>
  <si>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</si>
  <si>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</si>
  <si>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</si>
  <si>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</si>
  <si>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</si>
  <si>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</si>
  <si>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</si>
  <si>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</si>
  <si>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</si>
  <si>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</si>
  <si>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</si>
  <si>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</si>
  <si>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</si>
  <si>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</si>
  <si>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</si>
  <si>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</si>
  <si>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</si>
  <si>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</si>
  <si>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</si>
  <si>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</si>
  <si>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</si>
  <si>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</si>
  <si>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</si>
  <si>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</si>
  <si>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</si>
  <si>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</si>
  <si>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</si>
  <si>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</si>
  <si>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</si>
  <si>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</si>
  <si>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</si>
  <si>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</si>
  <si>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</si>
  <si>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</si>
  <si>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</si>
  <si>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</si>
  <si>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</si>
  <si>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</si>
  <si>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</si>
  <si>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</si>
  <si>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</si>
  <si>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</si>
  <si>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</si>
  <si>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</si>
  <si>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</si>
  <si>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</si>
  <si>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</si>
  <si>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</si>
  <si>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</si>
  <si>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</si>
  <si>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</si>
  <si>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</si>
  <si>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</si>
  <si>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</si>
  <si>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</si>
  <si>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</si>
  <si>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</si>
  <si>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</si>
  <si>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</si>
  <si>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</si>
  <si>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</si>
  <si>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</si>
  <si>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</si>
  <si>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</si>
  <si>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</si>
  <si>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</si>
  <si>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</si>
  <si>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</si>
  <si>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</si>
  <si>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</si>
  <si>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</si>
  <si>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</si>
  <si>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</si>
  <si>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</si>
  <si>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</si>
  <si>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</si>
  <si>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</si>
  <si>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</si>
  <si>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</si>
  <si>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</si>
  <si>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</si>
  <si>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</si>
  <si>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</si>
  <si>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</si>
  <si>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</si>
  <si>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</si>
  <si>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</si>
  <si>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</si>
  <si>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</si>
  <si>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</si>
  <si>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</si>
  <si>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</si>
  <si>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</si>
  <si>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</si>
  <si>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</si>
  <si>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</si>
  <si>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</si>
  <si>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</si>
  <si>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</si>
  <si>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</si>
  <si>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</si>
  <si>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</si>
  <si>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</si>
  <si>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</si>
  <si>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</si>
  <si>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</si>
  <si>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</si>
  <si>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</si>
  <si>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</si>
  <si>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</si>
  <si>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</si>
  <si>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</si>
  <si>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</si>
  <si>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</si>
  <si>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</si>
  <si>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</si>
  <si>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</si>
  <si>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</si>
  <si>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</si>
  <si>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</si>
  <si>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</si>
  <si>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</si>
  <si>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</si>
  <si>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</si>
  <si>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</si>
  <si>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</si>
  <si>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</si>
  <si>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</si>
  <si>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</si>
  <si>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</si>
  <si>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</si>
  <si>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</si>
  <si>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</si>
  <si>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</si>
  <si>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</si>
  <si>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</si>
  <si>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</si>
  <si>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</si>
  <si>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</si>
  <si>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</si>
  <si>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</si>
  <si>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</si>
  <si>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</si>
  <si>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</si>
  <si>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</si>
  <si>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</si>
  <si>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</si>
  <si>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</si>
  <si>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</si>
  <si>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</si>
  <si>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</si>
  <si>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</si>
  <si>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</si>
  <si>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</si>
  <si>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</si>
  <si>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</si>
  <si>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</si>
  <si>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</si>
  <si>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</si>
  <si>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</si>
  <si>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</si>
  <si>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</si>
  <si>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</si>
  <si>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</si>
  <si>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</si>
  <si>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</si>
  <si>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</si>
  <si>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</si>
  <si>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</si>
  <si>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</si>
  <si>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</si>
  <si>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</si>
  <si>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</si>
  <si>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</si>
  <si>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</si>
  <si>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</si>
  <si>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</si>
  <si>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</si>
  <si>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</si>
  <si>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</si>
  <si>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</si>
  <si>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</si>
  <si>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</si>
  <si>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</si>
  <si>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</si>
  <si>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</si>
  <si>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</si>
  <si>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</si>
  <si>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</si>
  <si>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</si>
  <si>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</si>
  <si>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</si>
  <si>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</si>
  <si>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</si>
  <si>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</si>
  <si>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</si>
  <si>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</si>
  <si>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</si>
  <si>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</si>
  <si>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</si>
  <si>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</si>
  <si>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</si>
  <si>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</si>
  <si>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</si>
  <si>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</si>
  <si>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</si>
  <si>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</si>
  <si>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</si>
  <si>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</si>
  <si>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</si>
  <si>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</si>
  <si>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</si>
  <si>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</si>
  <si>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</si>
  <si>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</si>
  <si>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</si>
  <si>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</si>
  <si>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</si>
  <si>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</si>
  <si>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</si>
  <si>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</si>
  <si>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</si>
  <si>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</si>
  <si>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</si>
  <si>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</si>
  <si>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</si>
  <si>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</si>
  <si>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</si>
  <si>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</si>
  <si>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</si>
  <si>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</si>
  <si>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</si>
  <si>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</si>
  <si>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</si>
  <si>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</si>
  <si>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</si>
  <si>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</si>
  <si>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</si>
  <si>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</si>
  <si>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</si>
  <si>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</si>
  <si>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</si>
  <si>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</si>
  <si>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</si>
  <si>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</si>
  <si>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</si>
  <si>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</si>
  <si>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</si>
  <si>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</si>
  <si>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</si>
  <si>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</si>
  <si>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</si>
  <si>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</si>
  <si>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</si>
  <si>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</si>
  <si>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</si>
  <si>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</si>
  <si>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</si>
  <si>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</si>
  <si>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</si>
  <si>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</si>
  <si>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</si>
  <si>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</si>
  <si>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</si>
  <si>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</si>
  <si>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</si>
  <si>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</si>
  <si>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</si>
  <si>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</si>
  <si>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</si>
  <si>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</si>
  <si>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</si>
  <si>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</si>
  <si>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</si>
  <si>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</si>
  <si>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</si>
  <si>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</si>
  <si>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</si>
  <si>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</si>
  <si>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</si>
  <si>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</si>
  <si>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</si>
  <si>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</si>
  <si>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</si>
  <si>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</si>
  <si>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</si>
  <si>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</si>
  <si>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</si>
  <si>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</si>
  <si>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</si>
  <si>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</si>
  <si>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</si>
  <si>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</si>
  <si>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</si>
  <si>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</si>
  <si>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</si>
  <si>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</si>
  <si>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</si>
  <si>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</si>
  <si>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</si>
  <si>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</si>
  <si>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</si>
  <si>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</si>
  <si>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</si>
  <si>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</si>
  <si>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</si>
  <si>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</si>
  <si>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</si>
  <si>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</si>
  <si>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</si>
  <si>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</si>
  <si>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</si>
  <si>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</si>
  <si>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</si>
  <si>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</si>
  <si>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</si>
  <si>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</si>
  <si>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</si>
  <si>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</si>
  <si>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</si>
  <si>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</si>
  <si>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</si>
  <si>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</si>
  <si>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</si>
  <si>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</si>
  <si>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</si>
  <si>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</si>
  <si>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</si>
  <si>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</si>
  <si>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</si>
  <si>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</si>
  <si>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</si>
  <si>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</si>
  <si>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</si>
  <si>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</si>
  <si>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</si>
  <si>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</si>
  <si>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</si>
  <si>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</si>
  <si>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</si>
  <si>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</si>
  <si>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</si>
  <si>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</si>
  <si>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</si>
  <si>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</si>
  <si>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</si>
  <si>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</si>
  <si>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</si>
  <si>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</si>
  <si>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</si>
  <si>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</si>
  <si>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</si>
  <si>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</si>
  <si>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</si>
  <si>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</si>
  <si>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</si>
  <si>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</si>
  <si>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</si>
  <si>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</si>
  <si>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</si>
  <si>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</si>
  <si>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</si>
  <si>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</si>
  <si>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</si>
  <si>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</si>
  <si>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</si>
  <si>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</si>
  <si>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</si>
  <si>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</si>
  <si>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</si>
  <si>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</si>
  <si>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</si>
  <si>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</si>
  <si>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</si>
  <si>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</si>
  <si>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</si>
  <si>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</si>
  <si>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</si>
  <si>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</si>
  <si>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</si>
  <si>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</si>
  <si>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</si>
  <si>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</si>
  <si>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</si>
  <si>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</si>
  <si>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</si>
  <si>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</si>
  <si>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</si>
  <si>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</si>
  <si>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</si>
  <si>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</si>
  <si>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</si>
  <si>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</si>
  <si>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</si>
  <si>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</si>
  <si>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</si>
  <si>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</si>
  <si>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</si>
  <si>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</si>
  <si>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</si>
  <si>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</si>
  <si>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</si>
  <si>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</si>
  <si>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</si>
  <si>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</si>
  <si>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</si>
  <si>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</si>
  <si>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</si>
  <si>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</si>
  <si>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</si>
  <si>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</si>
  <si>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</si>
  <si>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</si>
  <si>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</si>
  <si>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</si>
  <si>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</si>
  <si>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</si>
  <si>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</si>
  <si>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</si>
  <si>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</si>
  <si>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</si>
  <si>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</si>
  <si>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</si>
  <si>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</si>
  <si>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</si>
  <si>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</si>
  <si>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</si>
  <si>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</si>
  <si>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</si>
  <si>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</si>
  <si>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</si>
  <si>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</si>
  <si>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</si>
  <si>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</si>
  <si>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</si>
  <si>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</si>
  <si>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</si>
  <si>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</si>
  <si>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</si>
  <si>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</si>
  <si>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</si>
  <si>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</si>
  <si>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</si>
  <si>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</si>
  <si>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</si>
  <si>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</si>
  <si>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</si>
  <si>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</si>
  <si>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</si>
  <si>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</si>
  <si>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</si>
  <si>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</si>
  <si>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</si>
  <si>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</si>
  <si>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</si>
  <si>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</si>
  <si>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</si>
  <si>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</si>
  <si>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</si>
  <si>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</si>
  <si>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</si>
  <si>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</si>
  <si>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</si>
  <si>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</si>
  <si>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</si>
  <si>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</si>
  <si>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</si>
  <si>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</si>
  <si>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</si>
  <si>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</si>
  <si>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</si>
  <si>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</si>
  <si>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</si>
  <si>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</si>
  <si>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</si>
  <si>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</si>
  <si>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</si>
  <si>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</si>
  <si>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</si>
  <si>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</si>
  <si>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</si>
  <si>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</si>
  <si>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</si>
  <si>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</si>
  <si>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</si>
  <si>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</si>
  <si>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</si>
  <si>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</si>
  <si>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</si>
  <si>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</si>
  <si>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</si>
  <si>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</si>
  <si>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</si>
  <si>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</si>
  <si>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</si>
  <si>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</si>
  <si>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</si>
  <si>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</si>
  <si>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</si>
  <si>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</si>
  <si>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</si>
  <si>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</si>
  <si>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</si>
  <si>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</si>
  <si>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</si>
  <si>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</si>
  <si>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</si>
  <si>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</si>
  <si>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</si>
  <si>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</si>
  <si>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</si>
  <si>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</si>
  <si>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</si>
  <si>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</si>
  <si>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</si>
  <si>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</si>
  <si>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</si>
  <si>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</si>
  <si>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</si>
  <si>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</si>
  <si>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</si>
  <si>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</si>
  <si>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</si>
  <si>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</si>
  <si>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</si>
  <si>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</si>
  <si>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</si>
  <si>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</si>
  <si>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</si>
  <si>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</si>
  <si>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</si>
  <si>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</si>
  <si>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</si>
  <si>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</si>
  <si>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</si>
  <si>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</si>
  <si>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</si>
  <si>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</si>
  <si>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</si>
  <si>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</si>
  <si>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</si>
  <si>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</si>
  <si>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</si>
  <si>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</si>
  <si>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</si>
  <si>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</si>
  <si>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</si>
  <si>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</si>
  <si>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</si>
  <si>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</si>
  <si>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</si>
  <si>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</si>
  <si>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</si>
  <si>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</si>
  <si>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</si>
  <si>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</si>
  <si>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</si>
  <si>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</si>
  <si>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</si>
  <si>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</si>
  <si>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</si>
  <si>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</si>
  <si>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</si>
  <si>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</si>
  <si>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</si>
  <si>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</si>
  <si>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</si>
  <si>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</si>
  <si>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</si>
  <si>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</si>
  <si>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</si>
  <si>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</si>
  <si>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</si>
  <si>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</si>
  <si>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</si>
  <si>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</si>
  <si>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</si>
  <si>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</si>
  <si>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</si>
  <si>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</si>
  <si>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</si>
  <si>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</si>
  <si>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</si>
  <si>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</si>
  <si>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</si>
  <si>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</si>
  <si>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</si>
  <si>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</si>
  <si>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</si>
  <si>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</si>
  <si>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</si>
  <si>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</si>
  <si>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</si>
  <si>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</si>
  <si>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</si>
  <si>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</si>
  <si>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</si>
  <si>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</si>
  <si>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</si>
  <si>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</si>
  <si>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</si>
  <si>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</si>
  <si>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</si>
  <si>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</si>
  <si>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</si>
  <si>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</si>
  <si>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</si>
  <si>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</si>
  <si>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</si>
  <si>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</si>
  <si>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</si>
  <si>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</si>
  <si>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</si>
  <si>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</si>
  <si>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</si>
  <si>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</si>
  <si>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</si>
  <si>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</si>
  <si>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</si>
  <si>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</si>
  <si>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</si>
  <si>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</si>
  <si>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</si>
  <si>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</si>
  <si>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</si>
  <si>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</si>
  <si>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</si>
  <si>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</si>
  <si>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</si>
  <si>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</si>
  <si>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</si>
  <si>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</si>
  <si>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</si>
  <si>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</si>
  <si>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</si>
  <si>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</si>
  <si>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</si>
  <si>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</si>
  <si>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</si>
  <si>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</si>
  <si>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</si>
  <si>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</si>
  <si>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</si>
  <si>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</si>
  <si>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</si>
  <si>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</si>
  <si>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</si>
  <si>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</si>
  <si>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</si>
  <si>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</si>
  <si>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</si>
  <si>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</si>
  <si>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</si>
  <si>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</si>
  <si>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</si>
  <si>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</si>
  <si>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</si>
  <si>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</si>
  <si>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</si>
  <si>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</si>
  <si>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</si>
  <si>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</si>
  <si>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</si>
  <si>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</si>
  <si>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</si>
  <si>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</si>
  <si>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</si>
  <si>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</si>
  <si>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</si>
  <si>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</si>
  <si>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</si>
  <si>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</si>
  <si>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</si>
  <si>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</si>
  <si>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</si>
  <si>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</si>
  <si>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</si>
  <si>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</si>
  <si>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</si>
  <si>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</si>
  <si>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</si>
  <si>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</si>
  <si>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</si>
  <si>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</si>
  <si>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</si>
  <si>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</si>
  <si>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</si>
  <si>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</si>
  <si>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</si>
  <si>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</si>
  <si>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</si>
  <si>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</si>
  <si>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</si>
  <si>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</si>
  <si>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</si>
  <si>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</si>
  <si>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</si>
  <si>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</si>
  <si>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</si>
  <si>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</si>
  <si>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</si>
  <si>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</si>
  <si>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</si>
  <si>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</si>
  <si>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</si>
  <si>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</si>
  <si>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</si>
  <si>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</si>
  <si>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</si>
  <si>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</si>
  <si>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</si>
  <si>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</si>
  <si>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</si>
  <si>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</si>
  <si>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</si>
  <si>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</si>
  <si>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</si>
  <si>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</si>
  <si>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</si>
  <si>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</si>
  <si>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</si>
  <si>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</si>
  <si>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</si>
  <si>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</si>
  <si>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</si>
  <si>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</si>
  <si>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</si>
  <si>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</si>
  <si>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</si>
  <si>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</si>
  <si>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</si>
  <si>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</si>
  <si>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</si>
  <si>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</si>
  <si>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</si>
  <si>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</si>
  <si>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</si>
  <si>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</si>
  <si>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</si>
  <si>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</si>
  <si>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</si>
  <si>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</si>
  <si>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</si>
  <si>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</si>
  <si>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</si>
  <si>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</si>
  <si>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</si>
  <si>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</si>
  <si>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</si>
  <si>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</si>
  <si>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</si>
  <si>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</si>
  <si>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</si>
  <si>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</si>
  <si>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</si>
  <si>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</si>
  <si>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</si>
  <si>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</si>
  <si>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</si>
  <si>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</si>
  <si>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</si>
  <si>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</si>
  <si>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</si>
  <si>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</si>
  <si>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</si>
  <si>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</si>
  <si>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</si>
  <si>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</si>
  <si>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</si>
  <si>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</si>
  <si>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</si>
  <si>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</si>
  <si>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</si>
  <si>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</si>
  <si>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</si>
  <si>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</si>
  <si>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</si>
  <si>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</si>
  <si>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</si>
  <si>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</si>
  <si>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</si>
  <si>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</si>
  <si>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</si>
  <si>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</si>
  <si>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</si>
  <si>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</si>
  <si>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</si>
  <si>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</si>
  <si>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</si>
  <si>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</si>
  <si>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</si>
  <si>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</si>
  <si>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</si>
  <si>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</si>
  <si>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</si>
  <si>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</si>
  <si>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</si>
  <si>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</si>
  <si>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</si>
  <si>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</si>
  <si>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</si>
  <si>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</si>
  <si>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</si>
  <si>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</si>
  <si>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</si>
  <si>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</si>
  <si>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</si>
  <si>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</si>
  <si>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</si>
  <si>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</si>
  <si>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</si>
  <si>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</si>
  <si>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</si>
  <si>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</si>
  <si>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</si>
  <si>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</si>
  <si>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</si>
  <si>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</si>
  <si>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</si>
  <si>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</si>
  <si>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</si>
  <si>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</si>
  <si>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</si>
  <si>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</si>
  <si>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</si>
  <si>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</si>
  <si>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</si>
  <si>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</si>
  <si>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</si>
  <si>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</si>
  <si>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</si>
  <si>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</si>
  <si>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</si>
  <si>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</si>
  <si>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</si>
  <si>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</si>
  <si>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</si>
  <si>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</si>
  <si>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</si>
  <si>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</si>
  <si>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</si>
  <si>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</si>
  <si>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</si>
  <si>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</si>
  <si>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</si>
  <si>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</si>
  <si>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</si>
  <si>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</si>
  <si>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</si>
  <si>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</si>
  <si>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</si>
  <si>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</si>
  <si>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</si>
  <si>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</si>
  <si>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</si>
  <si>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</si>
  <si>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</si>
  <si>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</si>
  <si>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</si>
  <si>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</si>
  <si>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</si>
  <si>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</si>
  <si>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</si>
  <si>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</si>
  <si>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</si>
  <si>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</si>
  <si>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</si>
  <si>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</si>
  <si>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</si>
  <si>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</si>
  <si>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</si>
  <si>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</si>
  <si>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</si>
  <si>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</si>
  <si>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</si>
  <si>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</si>
  <si>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</si>
  <si>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</si>
  <si>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</si>
  <si>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</si>
  <si>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</si>
  <si>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</si>
  <si>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</si>
  <si>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</si>
  <si>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</si>
  <si>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</si>
  <si>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</si>
  <si>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</si>
  <si>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</si>
  <si>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</si>
  <si>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</si>
  <si>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</si>
  <si>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</si>
  <si>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</si>
  <si>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</si>
  <si>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</si>
  <si>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</si>
  <si>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</si>
  <si>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</si>
  <si>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</si>
  <si>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</si>
  <si>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</si>
  <si>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</si>
  <si>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</si>
  <si>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</si>
  <si>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</si>
  <si>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</si>
  <si>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</si>
  <si>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</si>
  <si>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</si>
  <si>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</si>
  <si>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</si>
  <si>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</si>
  <si>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</si>
  <si>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</si>
  <si>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</si>
  <si>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</si>
  <si>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</si>
  <si>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</si>
  <si>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</si>
  <si>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</si>
  <si>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</si>
  <si>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</si>
  <si>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</si>
  <si>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</si>
  <si>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</si>
  <si>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</si>
  <si>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</si>
  <si>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</si>
  <si>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</si>
  <si>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</si>
  <si>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</si>
  <si>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</si>
  <si>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</si>
  <si>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</si>
  <si>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</si>
  <si>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</si>
  <si>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</si>
  <si>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</si>
  <si>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</si>
  <si>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</si>
  <si>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</si>
  <si>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</si>
  <si>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</si>
  <si>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</si>
  <si>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</si>
  <si>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</si>
  <si>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</si>
  <si>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</si>
  <si>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</si>
  <si>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</si>
  <si>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</si>
  <si>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</si>
  <si>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</si>
  <si>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</si>
  <si>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</si>
  <si>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</si>
  <si>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</si>
  <si>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</si>
  <si>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</si>
  <si>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</si>
  <si>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</si>
  <si>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</si>
  <si>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</si>
  <si>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</si>
  <si>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</si>
  <si>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</si>
  <si>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</si>
  <si>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</si>
  <si>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</si>
  <si>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</si>
  <si>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</si>
  <si>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</si>
  <si>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</si>
  <si>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</si>
  <si>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</si>
  <si>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</si>
  <si>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</si>
  <si>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</si>
  <si>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</si>
  <si>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</si>
  <si>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</si>
  <si>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</si>
  <si>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</si>
  <si>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</si>
  <si>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</si>
  <si>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</si>
  <si>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</si>
  <si>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</si>
  <si>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</si>
  <si>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</si>
  <si>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</si>
  <si>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</si>
  <si>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</si>
  <si>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</si>
  <si>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</si>
  <si>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</si>
  <si>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</si>
  <si>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</si>
  <si>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</si>
  <si>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</si>
  <si>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</si>
  <si>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</si>
  <si>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</si>
  <si>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</si>
  <si>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</si>
  <si>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</si>
  <si>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</si>
  <si>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</si>
  <si>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</si>
  <si>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</si>
  <si>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</si>
  <si>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</si>
  <si>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</si>
  <si>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</si>
  <si>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</si>
  <si>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</si>
  <si>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</si>
  <si>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</si>
  <si>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</si>
  <si>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</si>
  <si>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</si>
  <si>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</si>
  <si>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</si>
  <si>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</si>
  <si>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</si>
  <si>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</si>
  <si>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</si>
  <si>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</si>
  <si>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</si>
  <si>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</si>
  <si>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</si>
  <si>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</si>
  <si>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</si>
  <si>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</si>
  <si>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</si>
  <si>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</si>
  <si>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</si>
  <si>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</si>
  <si>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</si>
  <si>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</si>
  <si>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</si>
  <si>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</si>
  <si>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</si>
  <si>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</si>
  <si>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</si>
  <si>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</si>
  <si>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</si>
  <si>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</si>
  <si>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</si>
  <si>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</si>
  <si>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</si>
  <si>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</si>
  <si>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</si>
  <si>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</si>
  <si>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</si>
  <si>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</si>
  <si>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</si>
  <si>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</si>
  <si>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</si>
  <si>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</si>
  <si>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</si>
  <si>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</si>
  <si>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</si>
  <si>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</si>
  <si>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</si>
  <si>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</si>
  <si>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</si>
  <si>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</si>
  <si>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</si>
  <si>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</si>
  <si>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</si>
  <si>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</si>
  <si>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</si>
  <si>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</si>
  <si>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</si>
  <si>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</si>
  <si>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</si>
  <si>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</si>
  <si>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</si>
  <si>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</si>
  <si>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</si>
  <si>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</si>
  <si>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</si>
  <si>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</si>
  <si>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</si>
  <si>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</si>
  <si>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</si>
  <si>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</si>
  <si>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</si>
  <si>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</si>
  <si>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</si>
  <si>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</si>
  <si>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</si>
  <si>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</si>
  <si>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</si>
  <si>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</si>
  <si>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</si>
  <si>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</si>
  <si>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</si>
  <si>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</si>
  <si>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</si>
  <si>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</si>
  <si>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</si>
  <si>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</si>
  <si>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</si>
  <si>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</si>
  <si>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</si>
  <si>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</si>
  <si>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</si>
  <si>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</si>
  <si>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</si>
  <si>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</si>
  <si>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</si>
  <si>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</si>
  <si>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</si>
  <si>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</si>
  <si>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</si>
  <si>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</si>
  <si>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</si>
  <si>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</si>
  <si>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</si>
  <si>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</si>
  <si>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</si>
  <si>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</si>
  <si>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</si>
  <si>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</si>
  <si>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</si>
  <si>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</si>
  <si>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</si>
  <si>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</si>
  <si>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</si>
  <si>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</si>
  <si>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</si>
  <si>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</si>
  <si>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</si>
  <si>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</si>
  <si>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</si>
  <si>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</si>
  <si>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</si>
  <si>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</si>
  <si>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</si>
  <si>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</si>
  <si>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</si>
  <si>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</si>
  <si>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</si>
  <si>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</si>
  <si>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</si>
  <si>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</si>
  <si>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</si>
  <si>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</si>
  <si>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</si>
  <si>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</si>
  <si>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</si>
  <si>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</si>
  <si>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</si>
  <si>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</si>
  <si>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</si>
  <si>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</si>
  <si>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</si>
  <si>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</si>
  <si>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</si>
  <si>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</si>
  <si>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</si>
  <si>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</si>
  <si>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</si>
  <si>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</si>
  <si>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</si>
  <si>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</si>
  <si>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</si>
  <si>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</si>
  <si>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</si>
  <si>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</si>
  <si>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</si>
  <si>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</si>
  <si>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</si>
  <si>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</si>
  <si>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</si>
  <si>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</si>
  <si>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</si>
  <si>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</si>
  <si>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</si>
  <si>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</si>
  <si>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</si>
  <si>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</si>
  <si>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</si>
  <si>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</si>
  <si>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</si>
  <si>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</si>
  <si>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</si>
  <si>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</si>
  <si>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</si>
  <si>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</si>
  <si>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</si>
  <si>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</si>
  <si>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</si>
  <si>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</si>
  <si>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</si>
  <si>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</si>
  <si>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</si>
  <si>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</si>
  <si>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</si>
  <si>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</si>
  <si>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</si>
  <si>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</si>
  <si>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</si>
  <si>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</si>
  <si>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</si>
  <si>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</si>
  <si>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</si>
  <si>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</si>
  <si>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</si>
  <si>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</si>
  <si>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</si>
  <si>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</si>
  <si>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</si>
  <si>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</si>
  <si>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</si>
  <si>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</si>
  <si>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</si>
  <si>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</si>
  <si>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</si>
  <si>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</si>
  <si>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</si>
  <si>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</si>
  <si>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</si>
  <si>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</si>
  <si>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</si>
  <si>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</si>
  <si>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</si>
  <si>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</si>
  <si>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</si>
  <si>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</si>
  <si>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</si>
  <si>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</si>
  <si>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</si>
  <si>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</si>
  <si>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</si>
  <si>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</si>
  <si>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</si>
  <si>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</si>
  <si>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</si>
  <si>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</si>
  <si>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</si>
  <si>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</si>
  <si>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</si>
  <si>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</si>
  <si>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</si>
  <si>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</si>
  <si>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</si>
  <si>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</si>
  <si>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</si>
  <si>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</si>
  <si>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</si>
  <si>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</si>
  <si>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</si>
  <si>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</si>
  <si>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</si>
  <si>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</si>
  <si>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</si>
  <si>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</si>
  <si>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</si>
  <si>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</si>
  <si>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</si>
  <si>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</si>
  <si>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</si>
  <si>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</si>
  <si>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</si>
  <si>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</si>
  <si>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</si>
  <si>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</si>
  <si>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</si>
  <si>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</si>
  <si>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</si>
  <si>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</si>
  <si>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</si>
  <si>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</si>
  <si>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</si>
  <si>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</si>
  <si>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</si>
  <si>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</si>
  <si>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</si>
  <si>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</si>
  <si>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</si>
  <si>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</si>
  <si>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</si>
  <si>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</si>
  <si>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</si>
  <si>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</si>
  <si>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</si>
  <si>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</si>
  <si>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</si>
  <si>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</si>
  <si>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</si>
  <si>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</si>
  <si>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</si>
  <si>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</si>
  <si>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</si>
  <si>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</si>
  <si>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</si>
  <si>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</si>
  <si>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</si>
  <si>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</si>
  <si>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</si>
  <si>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</si>
  <si>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</si>
  <si>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</si>
  <si>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</si>
  <si>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</si>
  <si>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</si>
  <si>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</si>
  <si>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</si>
  <si>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</si>
  <si>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</si>
  <si>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</si>
  <si>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</si>
  <si>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</si>
  <si>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</si>
  <si>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</si>
  <si>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</si>
  <si>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</si>
  <si>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</si>
  <si>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</si>
  <si>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</si>
  <si>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</si>
  <si>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</si>
  <si>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</si>
  <si>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</si>
  <si>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</si>
  <si>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</si>
  <si>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</si>
  <si>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</si>
  <si>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</si>
  <si>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</si>
  <si>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</si>
  <si>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</si>
  <si>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</si>
  <si>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</si>
  <si>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</si>
  <si>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</si>
  <si>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</si>
  <si>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</si>
  <si>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</si>
  <si>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</si>
  <si>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</si>
  <si>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</si>
  <si>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</si>
  <si>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</si>
  <si>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</si>
  <si>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</si>
  <si>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</si>
  <si>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</si>
  <si>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</si>
  <si>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</si>
  <si>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</si>
  <si>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</si>
  <si>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</si>
  <si>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</si>
  <si>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</si>
  <si>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</si>
  <si>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</si>
  <si>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</si>
  <si>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</si>
  <si>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</si>
  <si>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</si>
  <si>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</si>
  <si>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</si>
  <si>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</si>
  <si>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</si>
  <si>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</si>
  <si>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</si>
  <si>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</si>
  <si>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</si>
  <si>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</si>
  <si>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</si>
  <si>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</si>
  <si>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</si>
  <si>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</si>
  <si>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</si>
  <si>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</si>
  <si>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</si>
  <si>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</si>
  <si>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</si>
  <si>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</si>
  <si>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</si>
  <si>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</si>
  <si>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</si>
  <si>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</si>
  <si>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</si>
  <si>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</si>
  <si>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</si>
  <si>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</si>
  <si>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</si>
  <si>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</si>
  <si>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</si>
  <si>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</si>
  <si>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</si>
  <si>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</si>
  <si>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</si>
  <si>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</si>
  <si>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</si>
  <si>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</si>
  <si>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</si>
  <si>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</si>
  <si>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</si>
  <si>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</si>
  <si>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</si>
  <si>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</si>
  <si>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</si>
  <si>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</si>
  <si>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</si>
  <si>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</si>
  <si>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</si>
  <si>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</si>
  <si>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</si>
  <si>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</si>
  <si>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</si>
  <si>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</si>
  <si>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</si>
  <si>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</si>
  <si>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</si>
  <si>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</si>
  <si>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</si>
  <si>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</si>
  <si>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</si>
  <si>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</si>
  <si>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</si>
  <si>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</si>
  <si>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</si>
  <si>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</si>
  <si>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</si>
  <si>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</si>
  <si>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</si>
  <si>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</si>
  <si>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</si>
  <si>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</si>
  <si>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</si>
  <si>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</si>
  <si>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</si>
  <si>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</si>
  <si>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</si>
  <si>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</si>
  <si>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</si>
  <si>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</si>
  <si>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</si>
  <si>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</si>
  <si>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</si>
  <si>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</si>
  <si>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</si>
  <si>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</si>
  <si>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</si>
  <si>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</si>
  <si>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</si>
  <si>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</si>
  <si>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</si>
  <si>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</si>
  <si>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</si>
  <si>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</si>
  <si>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</si>
  <si>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</si>
  <si>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</si>
  <si>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</si>
  <si>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</si>
  <si>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</si>
  <si>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</si>
  <si>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</si>
  <si>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</si>
  <si>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</si>
  <si>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</si>
  <si>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</si>
  <si>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</si>
  <si>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</si>
  <si>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</si>
  <si>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</si>
  <si>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</si>
  <si>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</si>
  <si>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</si>
  <si>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</si>
  <si>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</si>
  <si>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</si>
  <si>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</si>
  <si>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</si>
  <si>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</si>
  <si>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</si>
  <si>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</si>
  <si>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</si>
  <si>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</si>
  <si>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</si>
  <si>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</si>
  <si>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</si>
  <si>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</si>
  <si>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</si>
  <si>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</si>
  <si>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</si>
  <si>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</si>
  <si>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</si>
  <si>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</si>
  <si>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</si>
  <si>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</si>
  <si>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</si>
  <si>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</si>
  <si>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</si>
  <si>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</si>
  <si>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</si>
  <si>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</si>
  <si>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</si>
  <si>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</si>
  <si>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</si>
  <si>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</si>
  <si>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</si>
  <si>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</si>
  <si>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</si>
  <si>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</si>
  <si>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</si>
  <si>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</si>
  <si>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</si>
  <si>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</si>
  <si>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</si>
  <si>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</si>
  <si>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</si>
  <si>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</si>
  <si>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</si>
  <si>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</si>
  <si>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</si>
  <si>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</si>
  <si>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</si>
  <si>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</si>
  <si>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</si>
  <si>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</si>
  <si>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</si>
  <si>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</si>
  <si>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</si>
  <si>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</si>
  <si>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</si>
  <si>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</si>
  <si>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</si>
  <si>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</si>
  <si>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</si>
  <si>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</si>
  <si>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</si>
  <si>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</si>
  <si>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</si>
  <si>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</si>
  <si>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</si>
  <si>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</si>
  <si>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</si>
  <si>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</si>
  <si>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</si>
  <si>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</si>
  <si>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</si>
  <si>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</si>
  <si>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</si>
  <si>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</si>
  <si>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</si>
  <si>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</si>
  <si>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</si>
  <si>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</si>
  <si>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</si>
  <si>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</si>
  <si>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</si>
  <si>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</si>
  <si>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</si>
  <si>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</si>
  <si>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</si>
  <si>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</si>
  <si>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</si>
  <si>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</si>
  <si>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</si>
  <si>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</si>
  <si>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</si>
  <si>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</si>
  <si>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</si>
  <si>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</si>
  <si>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</si>
  <si>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</si>
  <si>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</si>
  <si>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</si>
  <si>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</si>
  <si>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</si>
  <si>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</si>
  <si>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</si>
  <si>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</si>
  <si>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</si>
  <si>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</si>
  <si>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</si>
  <si>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</si>
  <si>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</si>
  <si>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</si>
  <si>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</si>
  <si>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</si>
  <si>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</si>
  <si>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</si>
  <si>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</si>
  <si>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</si>
  <si>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</si>
  <si>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</si>
  <si>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</si>
  <si>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</si>
  <si>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</si>
  <si>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</si>
  <si>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</si>
  <si>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</si>
  <si>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</si>
  <si>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</si>
  <si>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</si>
  <si>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</si>
  <si>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</si>
  <si>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</si>
  <si>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</si>
  <si>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</si>
  <si>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</si>
  <si>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</si>
  <si>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</si>
  <si>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</si>
  <si>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</si>
  <si>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</si>
  <si>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</si>
  <si>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</si>
  <si>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</si>
  <si>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</si>
  <si>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</si>
  <si>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</si>
  <si>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</si>
  <si>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</si>
  <si>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</si>
  <si>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</si>
  <si>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</si>
  <si>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</si>
  <si>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</si>
  <si>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</si>
  <si>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</si>
  <si>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</si>
  <si>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</si>
  <si>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</si>
  <si>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</si>
  <si>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</si>
  <si>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</si>
  <si>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</si>
  <si>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</si>
  <si>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</si>
  <si>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</si>
  <si>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</si>
  <si>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</si>
  <si>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</si>
  <si>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</si>
  <si>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</si>
  <si>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</si>
  <si>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</si>
  <si>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</si>
  <si>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</si>
  <si>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</si>
  <si>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</si>
  <si>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</si>
  <si>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</si>
  <si>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</si>
  <si>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</si>
  <si>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</si>
  <si>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</si>
  <si>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</si>
  <si>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</si>
  <si>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</si>
  <si>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</si>
  <si>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</si>
  <si>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</si>
  <si>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</si>
  <si>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</si>
  <si>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</si>
  <si>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</si>
  <si>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</si>
  <si>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</si>
  <si>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</si>
  <si>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</si>
  <si>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</si>
  <si>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</si>
  <si>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</si>
  <si>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</si>
  <si>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</si>
  <si>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</si>
  <si>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</si>
  <si>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</si>
  <si>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</si>
  <si>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</si>
  <si>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</si>
  <si>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</si>
  <si>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</si>
  <si>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</si>
  <si>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</si>
  <si>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</si>
  <si>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</si>
  <si>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</si>
  <si>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</si>
  <si>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</si>
  <si>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</si>
  <si>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</si>
  <si>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</si>
  <si>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</si>
  <si>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</si>
  <si>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</si>
  <si>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</si>
  <si>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</si>
  <si>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</si>
  <si>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</si>
  <si>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</si>
  <si>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</si>
  <si>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</si>
  <si>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</si>
  <si>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</si>
  <si>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</si>
  <si>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</si>
  <si>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</si>
  <si>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</si>
  <si>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</si>
  <si>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</si>
  <si>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</si>
  <si>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</si>
  <si>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</si>
  <si>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</si>
  <si>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</si>
  <si>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</si>
  <si>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</si>
  <si>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</si>
  <si>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</si>
  <si>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</si>
  <si>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</si>
  <si>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</si>
  <si>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</si>
  <si>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</si>
  <si>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</si>
  <si>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</si>
  <si>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</si>
  <si>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</si>
  <si>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</si>
  <si>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</si>
  <si>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</si>
  <si>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</si>
  <si>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</si>
  <si>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</si>
  <si>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</si>
  <si>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</si>
  <si>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</si>
  <si>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</si>
  <si>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</si>
  <si>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</si>
  <si>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</si>
  <si>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</si>
  <si>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</si>
  <si>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</si>
  <si>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</si>
  <si>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</si>
  <si>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</si>
  <si>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</si>
  <si>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</si>
  <si>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</si>
  <si>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</si>
  <si>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</si>
  <si>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</si>
  <si>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</si>
  <si>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</si>
  <si>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</si>
  <si>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</si>
  <si>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</si>
  <si>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</si>
  <si>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</si>
  <si>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</si>
  <si>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</si>
  <si>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</si>
  <si>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</si>
  <si>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</si>
  <si>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</si>
  <si>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</si>
  <si>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</si>
  <si>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</si>
  <si>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</si>
  <si>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</si>
  <si>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</si>
  <si>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</si>
  <si>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</si>
  <si>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</si>
  <si>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</si>
  <si>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</si>
  <si>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</si>
  <si>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</si>
  <si>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</si>
  <si>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</si>
  <si>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</si>
  <si>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</si>
  <si>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</si>
  <si>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</si>
  <si>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</si>
  <si>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</si>
  <si>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</si>
  <si>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</si>
  <si>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</si>
  <si>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</si>
  <si>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</si>
  <si>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</si>
  <si>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</si>
  <si>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</si>
  <si>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</si>
  <si>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</si>
  <si>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</si>
  <si>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</si>
  <si>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</si>
  <si>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</si>
  <si>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</si>
  <si>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</si>
  <si>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</si>
  <si>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</si>
  <si>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</si>
  <si>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</si>
  <si>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</si>
  <si>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</si>
  <si>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</si>
  <si>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</si>
  <si>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</si>
  <si>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</si>
  <si>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</si>
  <si>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</si>
  <si>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</si>
  <si>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</si>
  <si>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</si>
  <si>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</si>
  <si>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</si>
  <si>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</si>
  <si>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</si>
  <si>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</si>
  <si>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</si>
  <si>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</si>
  <si>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</si>
  <si>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</si>
  <si>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</si>
  <si>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</si>
  <si>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</si>
  <si>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</si>
  <si>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</si>
  <si>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</si>
  <si>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</si>
  <si>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</si>
  <si>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</si>
  <si>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</si>
  <si>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</si>
  <si>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</si>
  <si>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</si>
  <si>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</si>
  <si>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</si>
  <si>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</si>
  <si>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</si>
  <si>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</si>
  <si>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</si>
  <si>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</si>
  <si>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</si>
  <si>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</si>
  <si>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</si>
  <si>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</si>
  <si>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</si>
  <si>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5/4/2018)</t>
    </r>
  </si>
  <si>
    <t>Villas of Marine Creek</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</si>
</sst>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60" x14ac:knownFonts="1">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
      <sz val="8"/>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medium">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style="medium">
        <color auto="1"/>
      </right>
      <top style="medium">
        <color auto="1"/>
      </top>
      <bottom style="medium">
        <color auto="1"/>
      </bottom>
      <diagonal/>
    </border>
    <border>
      <left/>
      <right/>
      <top style="medium">
        <color auto="1"/>
      </top>
      <bottom style="thin">
        <color auto="1"/>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theme" Target="theme/theme1.xml"/><Relationship Id="rId23" Type="http://schemas.openxmlformats.org/officeDocument/2006/relationships/styles" Target="styles.xml"/><Relationship Id="rId24" Type="http://schemas.openxmlformats.org/officeDocument/2006/relationships/sharedStrings" Target="sharedStrings.xml"/><Relationship Id="rId25"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BP1109"/>
  <sheetViews>
    <sheetView showGridLines="0" tabSelected="1" topLeftCell="A2" zoomScale="85" zoomScaleNormal="85" zoomScalePageLayoutView="85" workbookViewId="0">
      <selection activeCell="A25" sqref="A25"/>
    </sheetView>
  </sheetViews>
  <sheetFormatPr baseColWidth="10" defaultColWidth="8.83203125" defaultRowHeight="14" x14ac:dyDescent="0"/>
  <cols>
    <col min="1" max="1" width="19.83203125" style="6" customWidth="1"/>
    <col min="2" max="2" width="37.33203125" style="6" customWidth="1"/>
    <col min="3" max="3" width="8.5" style="7" customWidth="1"/>
    <col min="4" max="4" width="5.6640625" style="6" customWidth="1"/>
    <col min="5" max="5" width="11" style="6" bestFit="1" customWidth="1"/>
    <col min="6" max="9" width="10.83203125" style="6" bestFit="1" customWidth="1"/>
    <col min="10" max="10" width="10.33203125" style="6" customWidth="1"/>
    <col min="11" max="12" width="10.1640625" style="6" customWidth="1"/>
    <col min="13" max="13" width="1.5" style="6" customWidth="1"/>
    <col min="14" max="14" width="36.3320312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6640625" style="6" customWidth="1"/>
    <col min="34" max="34" width="10.6640625" style="6" customWidth="1"/>
    <col min="35" max="36" width="9.1640625" style="6" customWidth="1"/>
    <col min="37" max="37" width="10" style="6" customWidth="1"/>
    <col min="38" max="38" width="10.6640625" style="6" customWidth="1"/>
    <col min="39" max="39" width="9.5" style="6" customWidth="1"/>
    <col min="40" max="41" width="9.1640625" style="6" customWidth="1"/>
    <col min="42" max="42" width="9.1640625" style="6" hidden="1" customWidth="1"/>
    <col min="43" max="43" width="60.33203125" style="6" hidden="1" customWidth="1"/>
    <col min="44" max="45" width="9.1640625" style="6" hidden="1" customWidth="1"/>
    <col min="46" max="46" width="12" style="6" hidden="1" customWidth="1"/>
    <col min="47" max="47" width="27.33203125" style="6" hidden="1" customWidth="1"/>
    <col min="48" max="48" width="12.5" style="6" hidden="1" customWidth="1"/>
    <col min="49" max="49" width="30.1640625" style="6" hidden="1" customWidth="1"/>
    <col min="50" max="50" width="24.5" style="6" hidden="1" customWidth="1"/>
    <col min="51" max="51" width="16.5" style="6" hidden="1" customWidth="1"/>
    <col min="52" max="56" width="35.5" style="6" hidden="1" customWidth="1"/>
    <col min="57" max="57" width="28.5" style="241" hidden="1" customWidth="1"/>
    <col min="58" max="59" width="9.1640625" style="6" hidden="1" customWidth="1"/>
    <col min="60" max="60" width="13.5" style="6" hidden="1" customWidth="1"/>
    <col min="61" max="61" width="11.5" style="6" hidden="1" customWidth="1"/>
    <col min="62" max="62" width="13" style="6" hidden="1" customWidth="1"/>
    <col min="63" max="64" width="9.1640625" style="6" hidden="1" customWidth="1"/>
    <col min="65" max="97" width="9.1640625" style="6" customWidth="1"/>
    <col min="98" max="16384" width="8.83203125" style="6"/>
  </cols>
  <sheetData>
    <row r="1" spans="1:60" ht="17.25" hidden="1" customHeight="1" thickBot="1"/>
    <row r="2" spans="1:60" ht="83.25" customHeight="1" thickBot="1">
      <c r="A2" s="145" t="s">
        <v>1588</v>
      </c>
      <c r="B2" s="330" t="s">
        <v>3006</v>
      </c>
      <c r="C2" s="330"/>
      <c r="D2" s="330"/>
      <c r="E2" s="330"/>
      <c r="F2" s="330"/>
      <c r="G2" s="330"/>
      <c r="H2" s="330"/>
      <c r="I2" s="330"/>
      <c r="J2" s="330"/>
      <c r="K2" s="330"/>
      <c r="L2" s="330"/>
      <c r="M2" s="331"/>
      <c r="N2" s="142" t="s">
        <v>1590</v>
      </c>
      <c r="AU2" s="208"/>
      <c r="AV2" s="208"/>
    </row>
    <row r="3" spans="1:60" ht="27" customHeight="1">
      <c r="A3" s="172" t="s">
        <v>1366</v>
      </c>
      <c r="B3" s="327" t="s">
        <v>3007</v>
      </c>
      <c r="C3" s="327"/>
      <c r="D3" s="327"/>
      <c r="E3" s="327"/>
      <c r="F3" s="327"/>
      <c r="G3" s="327"/>
      <c r="H3" s="94"/>
      <c r="I3" s="94"/>
      <c r="J3" s="94"/>
      <c r="K3" s="94"/>
      <c r="L3" s="94"/>
      <c r="M3" s="173"/>
      <c r="N3" s="143" t="s">
        <v>1589</v>
      </c>
      <c r="AK3" s="208"/>
    </row>
    <row r="4" spans="1:60" ht="15">
      <c r="A4" s="174" t="s">
        <v>1368</v>
      </c>
      <c r="B4" s="57"/>
      <c r="C4" s="57"/>
      <c r="D4" s="57"/>
      <c r="E4" s="57"/>
      <c r="F4" s="57"/>
      <c r="G4" s="57"/>
      <c r="H4" s="57"/>
      <c r="I4" s="57"/>
      <c r="J4" s="57"/>
      <c r="K4" s="57"/>
      <c r="L4" s="57"/>
      <c r="M4" s="175"/>
      <c r="N4" s="169" t="s">
        <v>1586</v>
      </c>
      <c r="AK4" s="208"/>
    </row>
    <row r="5" spans="1:60">
      <c r="A5" s="337" t="s">
        <v>1361</v>
      </c>
      <c r="B5" s="338"/>
      <c r="C5" s="338"/>
      <c r="D5" s="338"/>
      <c r="E5" s="338"/>
      <c r="F5" s="338"/>
      <c r="G5" s="338"/>
      <c r="H5" s="338"/>
      <c r="I5" s="338"/>
      <c r="J5" s="338"/>
      <c r="K5" s="338"/>
      <c r="L5" s="338"/>
      <c r="M5" s="175"/>
      <c r="N5" s="170" t="s">
        <v>1587</v>
      </c>
    </row>
    <row r="6" spans="1:60" ht="26.25" customHeight="1">
      <c r="A6" s="332" t="s">
        <v>2113</v>
      </c>
      <c r="B6" s="333"/>
      <c r="C6" s="333"/>
      <c r="D6" s="333"/>
      <c r="E6" s="333"/>
      <c r="F6" s="333"/>
      <c r="G6" s="333"/>
      <c r="H6" s="333"/>
      <c r="I6" s="333"/>
      <c r="J6" s="333"/>
      <c r="K6" s="333"/>
      <c r="L6" s="333"/>
      <c r="M6" s="175"/>
      <c r="N6" s="171" t="s">
        <v>1585</v>
      </c>
    </row>
    <row r="7" spans="1:60" ht="21" customHeight="1">
      <c r="A7" s="332" t="s">
        <v>2114</v>
      </c>
      <c r="B7" s="333"/>
      <c r="C7" s="333"/>
      <c r="D7" s="333"/>
      <c r="E7" s="333"/>
      <c r="F7" s="333"/>
      <c r="G7" s="333"/>
      <c r="H7" s="333"/>
      <c r="I7" s="333"/>
      <c r="J7" s="333"/>
      <c r="K7" s="333"/>
      <c r="L7" s="333"/>
      <c r="M7" s="175"/>
      <c r="N7" s="144"/>
    </row>
    <row r="8" spans="1:60" ht="29.25" customHeight="1">
      <c r="A8" s="332" t="s">
        <v>2430</v>
      </c>
      <c r="B8" s="333"/>
      <c r="C8" s="333"/>
      <c r="D8" s="333"/>
      <c r="E8" s="333"/>
      <c r="F8" s="333"/>
      <c r="G8" s="333"/>
      <c r="H8" s="333"/>
      <c r="I8" s="333"/>
      <c r="J8" s="333"/>
      <c r="K8" s="333"/>
      <c r="L8" s="333"/>
      <c r="M8" s="175"/>
      <c r="AW8" s="6" t="s">
        <v>2181</v>
      </c>
    </row>
    <row r="9" spans="1:60" ht="25.5" customHeight="1">
      <c r="A9" s="332" t="s">
        <v>2433</v>
      </c>
      <c r="B9" s="333"/>
      <c r="C9" s="333"/>
      <c r="D9" s="333"/>
      <c r="E9" s="333"/>
      <c r="F9" s="333"/>
      <c r="G9" s="333"/>
      <c r="H9" s="333"/>
      <c r="I9" s="333"/>
      <c r="J9" s="333"/>
      <c r="K9" s="333"/>
      <c r="L9" s="333"/>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47" t="str">
        <f>IF(OR(B11=0,B1=0,B18=0,B16=0),"PLEASE COMPLETE ALL FIELDS.","")</f>
        <v>PLEASE COMPLETE ALL FIELDS.</v>
      </c>
      <c r="B10" s="348"/>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50</v>
      </c>
      <c r="D11" s="8" t="s">
        <v>1421</v>
      </c>
      <c r="E11" s="7"/>
      <c r="F11" s="7"/>
      <c r="G11" s="26"/>
      <c r="H11" s="185" t="s">
        <v>3004</v>
      </c>
      <c r="I11" s="27"/>
      <c r="J11" s="27"/>
      <c r="K11" s="186">
        <f>S186</f>
        <v>75200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6">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1156</v>
      </c>
      <c r="D13" s="341" t="s">
        <v>1362</v>
      </c>
      <c r="E13" s="344" t="s">
        <v>1363</v>
      </c>
      <c r="F13" s="345"/>
      <c r="G13" s="345"/>
      <c r="H13" s="345"/>
      <c r="I13" s="345"/>
      <c r="J13" s="345"/>
      <c r="K13" s="345"/>
      <c r="L13" s="346"/>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42"/>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15810</v>
      </c>
      <c r="F15" s="82">
        <f t="shared" si="1"/>
        <v>18060</v>
      </c>
      <c r="G15" s="82">
        <f t="shared" si="1"/>
        <v>20310</v>
      </c>
      <c r="H15" s="82">
        <f t="shared" si="1"/>
        <v>22560</v>
      </c>
      <c r="I15" s="82">
        <f t="shared" si="1"/>
        <v>24390</v>
      </c>
      <c r="J15" s="82">
        <f t="shared" si="1"/>
        <v>26190</v>
      </c>
      <c r="K15" s="82">
        <f t="shared" si="1"/>
        <v>27990</v>
      </c>
      <c r="L15" s="82">
        <f t="shared" si="1"/>
        <v>29790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21080</v>
      </c>
      <c r="F16" s="83">
        <f t="shared" si="2"/>
        <v>24080</v>
      </c>
      <c r="G16" s="83">
        <f t="shared" si="2"/>
        <v>27080</v>
      </c>
      <c r="H16" s="83">
        <f t="shared" si="2"/>
        <v>30080</v>
      </c>
      <c r="I16" s="83">
        <f t="shared" si="2"/>
        <v>32520</v>
      </c>
      <c r="J16" s="83">
        <f t="shared" si="2"/>
        <v>34920</v>
      </c>
      <c r="K16" s="83">
        <f t="shared" si="2"/>
        <v>37320</v>
      </c>
      <c r="L16" s="83">
        <f t="shared" si="2"/>
        <v>39720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26350</v>
      </c>
      <c r="F17" s="83">
        <f t="shared" si="2"/>
        <v>30100</v>
      </c>
      <c r="G17" s="83">
        <f t="shared" si="2"/>
        <v>33850</v>
      </c>
      <c r="H17" s="83">
        <f t="shared" si="2"/>
        <v>37600</v>
      </c>
      <c r="I17" s="83">
        <f t="shared" si="2"/>
        <v>40650</v>
      </c>
      <c r="J17" s="83">
        <f t="shared" si="2"/>
        <v>43650</v>
      </c>
      <c r="K17" s="83">
        <f t="shared" si="2"/>
        <v>46650</v>
      </c>
      <c r="L17" s="83">
        <f t="shared" si="2"/>
        <v>49650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31620</v>
      </c>
      <c r="F18" s="83">
        <f t="shared" si="2"/>
        <v>36120</v>
      </c>
      <c r="G18" s="83">
        <f t="shared" si="2"/>
        <v>40620</v>
      </c>
      <c r="H18" s="83">
        <f t="shared" si="2"/>
        <v>45120</v>
      </c>
      <c r="I18" s="83">
        <f t="shared" si="2"/>
        <v>48780</v>
      </c>
      <c r="J18" s="83">
        <f t="shared" si="2"/>
        <v>52380</v>
      </c>
      <c r="K18" s="83">
        <f t="shared" si="2"/>
        <v>55980</v>
      </c>
      <c r="L18" s="83">
        <f t="shared" si="2"/>
        <v>59580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42160</v>
      </c>
      <c r="F19" s="83">
        <f t="shared" si="2"/>
        <v>48160</v>
      </c>
      <c r="G19" s="83">
        <f t="shared" si="2"/>
        <v>54160</v>
      </c>
      <c r="H19" s="83">
        <f t="shared" si="2"/>
        <v>60160</v>
      </c>
      <c r="I19" s="83">
        <f t="shared" si="2"/>
        <v>65040</v>
      </c>
      <c r="J19" s="83">
        <f t="shared" si="2"/>
        <v>69840</v>
      </c>
      <c r="K19" s="83">
        <f t="shared" si="2"/>
        <v>74640</v>
      </c>
      <c r="L19" s="83">
        <f t="shared" si="2"/>
        <v>79440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39" t="str">
        <f>IF(OR($B$16=$AS$15,$B$16=$AS$13),"(5) LURA Date (should be same selection as above):","(5) Carryover / Determination Notice / Subaward Agreement Date:")</f>
        <v>(5) Carryover / Determination Notice / Subaward Agreement Date:</v>
      </c>
      <c r="B23" s="340"/>
      <c r="D23" s="93" t="s">
        <v>1422</v>
      </c>
      <c r="E23" s="7"/>
      <c r="F23" s="343"/>
      <c r="G23" s="343"/>
      <c r="H23" s="343"/>
      <c r="I23" s="343"/>
      <c r="J23" s="343"/>
      <c r="K23" s="343"/>
      <c r="L23" s="343"/>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35" t="s">
        <v>1012</v>
      </c>
      <c r="B24" s="336"/>
      <c r="D24" s="341" t="s">
        <v>1362</v>
      </c>
      <c r="E24" s="345" t="s">
        <v>1358</v>
      </c>
      <c r="F24" s="345"/>
      <c r="G24" s="345"/>
      <c r="H24" s="345"/>
      <c r="I24" s="345"/>
      <c r="J24" s="345"/>
      <c r="K24" s="345"/>
      <c r="L24" s="346"/>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42"/>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G26" si="4">IF(OR($B$11=0,$B$18=0,$A$24=0,),"",IF(OR($B$16=$AS$14,$B$16=$AS$13),IF($B$29=$AP$10,$E199,IF($B$29=$AP$11,$E206,"")),IF($B$16=$AS$16,E235,ROUNDDOWN(0.3*E50/12,0))))</f>
        <v>395</v>
      </c>
      <c r="F26" s="87">
        <f>IF(OR($B$11=0,$B$18=0,$A$24=0,),"",IF(OR($B$16=$AS$14,$B$16=$AS$13),IF($B$29=$AP$10,$E199,IF($B$29=$AP$11,$E206,"")),IF($B$16=$AS$16,F235,ROUNDDOWN(AVERAGE(E50,F50)/12*0.3,0))))</f>
        <v>423</v>
      </c>
      <c r="G26" s="87">
        <f t="shared" si="4"/>
        <v>507</v>
      </c>
      <c r="H26" s="87">
        <f>IF(OR($B$11=0,$B$18=0,$A$24=0,),"",IF(OR($B$16=$AS$14,$B$16=$AS$13),IF($B$29=$AP$10,$E199,IF($B$29=$AP$11,$E206,"")),IF($B$16=$AS$16,H235,ROUNDDOWN(AVERAGE(I50,H50)/12*0.3,0))))</f>
        <v>586</v>
      </c>
      <c r="I26" s="87">
        <f>IF(OR($B$11=0,$B$18=0,$A$24=0,),"",IF(OR($B$16=$AS$14,$B$16=$AS$13),IF($B$29=$AP$10,$E199,IF($B$29=$AP$11,$E206,"")),IF($B$16=$AS$16,I235,ROUNDDOWN(0.3*J50/12,0))))</f>
        <v>654</v>
      </c>
      <c r="J26" s="87">
        <f>IF(OR($B$11=0,$B$18=0,$A$24=0,),"",IF(OR($B$16=$AS$14,$B$16=$AS$13),IF($B$29=$AP$10,$E199,IF($B$29=$AP$11,$E206,"")),IF($B$16=$AS$16,J235,ROUNDDOWN(AVERAGE(K50,L50)/12*0.3,0))))</f>
        <v>722</v>
      </c>
      <c r="K26" s="13"/>
      <c r="L26" s="14"/>
      <c r="M26" s="175"/>
      <c r="N26" s="334"/>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28" t="s">
        <v>2125</v>
      </c>
      <c r="B27" s="329"/>
      <c r="D27" s="81">
        <f>IF($B$16=$AS$16,"",40)</f>
        <v>40</v>
      </c>
      <c r="E27" s="88">
        <f t="shared" ref="E27:G27" si="5">IF(OR($B$11=0,$B$18=0,$A$24=0,),"",IF(OR($B$16=$AS$14,$B$16=$AS$13),IF($B$29=$AP$10,$E200,IF($B$29=$AP$11,$E$207,"")),IF($B$16=$AS$16,"",ROUNDDOWN(0.3*E51/12,0))))</f>
        <v>527</v>
      </c>
      <c r="F27" s="88">
        <f>IF(OR($B$11=0,$B$18=0,$A$24=0,),"",IF(OR($B$16=$AS$14,$B$16=$AS$13),IF($B$29=$AP$10,$E200,IF($B$29=$AP$11,$E$207,"")),IF($B$16=$AS$16,"",ROUNDDOWN(AVERAGE(E51,F51)/12*0.3,0))))</f>
        <v>564</v>
      </c>
      <c r="G27" s="88">
        <f t="shared" si="5"/>
        <v>677</v>
      </c>
      <c r="H27" s="88">
        <f>IF(OR($B$11=0,$B$18=0,$A$24=0,),"",IF(OR($B$16=$AS$14,$B$16=$AS$13),IF($B$29=$AP$10,$E200,IF($B$29=$AP$11,$E$207,"")),IF($B$16=$AS$16,"",ROUNDDOWN(AVERAGE(I51,H51)/12*0.3,0))))</f>
        <v>782</v>
      </c>
      <c r="I27" s="88">
        <f>IF(OR($B$11=0,$B$18=0,$A$24=0,),"",IF(OR($B$16=$AS$14,$B$16=$AS$13),IF($B$29=$AP$10,$E200,IF($B$29=$AP$11,$E$207,"")),IF($B$16=$AS$16,"",ROUNDDOWN(0.3*J51/12,0))))</f>
        <v>873</v>
      </c>
      <c r="J27" s="88">
        <f>IF(OR($B$11=0,$B$18=0,$A$24=0,),"",IF(OR($B$16=$AS$14,$B$16=$AS$13),IF($B$29=$AP$10,$E200,IF($B$29=$AP$11,$E$207,"")),IF($B$16=$AS$16,"",ROUNDDOWN(AVERAGE(K51,L51)/12*0.3,0))))</f>
        <v>963</v>
      </c>
      <c r="K27" s="13"/>
      <c r="L27" s="14"/>
      <c r="M27" s="175"/>
      <c r="N27" s="334"/>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28"/>
      <c r="B28" s="329"/>
      <c r="D28" s="84">
        <f>IF(OR(B16=AS14,B16=$AS$13),"Low",IF($B$16=$AS$16,"",50))</f>
        <v>50</v>
      </c>
      <c r="E28" s="88">
        <f t="shared" ref="E28:G28" si="6">IF(OR($B$11=0,$B$18=0,$A$24=0,),"",IF(OR($B$16=$AS$14,$B$16=$AS$13),IF($B$29=$AP$10,$E201,IF($B$29=$AP$11,$E$208,"")),IF($B$16=$AS$16,"",ROUNDDOWN(0.3*E52/12,0))))</f>
        <v>658</v>
      </c>
      <c r="F28" s="88">
        <f>IF(OR($B$11=0,$B$18=0,$A$24=0,),"",IF(OR($B$16=$AS$14,$B$16=$AS$13),IF($B$29=$AP$10,$E201,IF($B$29=$AP$11,$E$208,"")),IF($B$16=$AS$16,"",ROUNDDOWN(AVERAGE(E52,F52)/12*0.3,0))))</f>
        <v>705</v>
      </c>
      <c r="G28" s="88">
        <f t="shared" si="6"/>
        <v>846</v>
      </c>
      <c r="H28" s="88">
        <f>IF(OR($B$11=0,$B$18=0,$A$24=0,),"",IF(OR($B$16=$AS$14,$B$16=$AS$13),IF($B$29=$AP$10,$E201,IF($B$29=$AP$11,$E$208,"")),IF($B$16=$AS$16,"",ROUNDDOWN(AVERAGE(I52,H52)/12*0.3,0))))</f>
        <v>978</v>
      </c>
      <c r="I28" s="88">
        <f>IF(OR($B$11=0,$B$18=0,$A$24=0,),"",IF(OR($B$16=$AS$14,$B$16=$AS$13),IF($B$29=$AP$10,$E201,IF($B$29=$AP$11,$E$208,"")),IF($B$16=$AS$16,"",ROUNDDOWN(0.3*J52/12,0))))</f>
        <v>1091</v>
      </c>
      <c r="J28" s="88">
        <f>IF(OR($B$11=0,$B$18=0,$A$24=0,),"",IF(OR($B$16=$AS$14,$B$16=$AS$13),IF($B$29=$AP$10,$E201,IF($B$29=$AP$11,$E$208,"")),IF($B$16=$AS$16,"",ROUNDDOWN(AVERAGE(K52,L52)/12*0.3,0))))</f>
        <v>1203</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G29" si="7">IF(OR($B$11=0,$B$18=0,$A$24=0,),"",IF(OR($B$16=$AS$14,$B$16=$AS$13),IF($B$29=$AP$10,$E202,IF($B$29=$AP$11,$E$209,"")),IF($B$16=$AS$16,"",ROUNDDOWN(0.3*E53/12,0))))</f>
        <v>790</v>
      </c>
      <c r="F29" s="88">
        <f>IF(OR($B$11=0,$B$18=0,$A$24=0,),"",IF(OR($B$16=$AS$14,$B$16=$AS$13),IF($B$29=$AP$10,$E202,IF($B$29=$AP$11,$E$209,"")),IF($B$16=$AS$16,"",ROUNDDOWN(AVERAGE(E53,F53)/12*0.3,0))))</f>
        <v>846</v>
      </c>
      <c r="G29" s="88">
        <f t="shared" si="7"/>
        <v>1015</v>
      </c>
      <c r="H29" s="88">
        <f>IF(OR($B$11=0,$B$18=0,$A$24=0,),"",IF(OR($B$16=$AS$14,$B$16=$AS$13),IF($B$29=$AP$10,$E202,IF($B$29=$AP$11,$E$209,"")),IF($B$16=$AS$16,"",ROUNDDOWN(AVERAGE(I53,H53)/12*0.3,0))))</f>
        <v>1173</v>
      </c>
      <c r="I29" s="88">
        <f>IF(OR($B$11=0,$B$18=0,$A$24=0,),"",IF(OR($B$16=$AS$14,$B$16=$AS$13),IF($B$29=$AP$10,$E202,IF($B$29=$AP$11,$E$209,"")),IF($B$16=$AS$16,"",ROUNDDOWN(0.3*J53/12,0))))</f>
        <v>1309</v>
      </c>
      <c r="J29" s="88">
        <f>IF(OR($B$11=0,$B$18=0,$A$24=0,),"",IF(OR($B$16=$AS$14,$B$16=$AS$13),IF($B$29=$AP$10,$E202,IF($B$29=$AP$11,$E$209,"")),IF($B$16=$AS$16,"",ROUNDDOWN(AVERAGE(K53,L53)/12*0.3,0))))</f>
        <v>1444</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1054</v>
      </c>
      <c r="F31" s="90">
        <f>IF(OR($B$11=0,$B$18=0,$A$24=0,$B$16=$AS$16),"",IF(OR($B$16=$A$13,$B$16=$AS$13),$F203,ROUNDDOWN(AVERAGE(E54,F54)/12*0.3,0)))</f>
        <v>1129</v>
      </c>
      <c r="G31" s="90">
        <f>IF(OR($B$11=0,$B$18=0,$A$24=0,$B$16=$AS$16),"",IF(OR($B$16=$A$13,$B$16=$AS$13),$G203,ROUNDDOWN(0.3*G54/12,0)))</f>
        <v>1354</v>
      </c>
      <c r="H31" s="90">
        <f>IF(OR($B$11=0,$B$18=0,$A$24=0,$B$16=$AS$16),"",IF(OR($B$16=$A$13,$B$16=$AS$13),H203,ROUNDDOWN(AVERAGE(I54,H54)/12*0.3,0)))</f>
        <v>1565</v>
      </c>
      <c r="I31" s="90">
        <f>IF(OR($B$11=0,$B$18=0,$A$24=0,$B$16=$AS$16),"",IF(OR($B$16=$A$13,$B$16=$AS$13),I203,ROUNDDOWN(0.3*J54/12,0)))</f>
        <v>1746</v>
      </c>
      <c r="J31" s="91">
        <f>IF(OR($B$11=0,$B$18=0,$A$24=0,$B$16=$AS$16),"",IF(OR($B$16=$A$13,$B$16=$AS$13),J203,ROUNDDOWN(AVERAGE(K54,L54)/12*0.3,0)))</f>
        <v>1926</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75"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26" t="s">
        <v>3005</v>
      </c>
      <c r="B33" s="326"/>
      <c r="C33" s="326"/>
      <c r="D33" s="326"/>
      <c r="E33" s="326"/>
      <c r="F33" s="326"/>
      <c r="G33" s="326"/>
      <c r="H33" s="326"/>
      <c r="I33" s="326"/>
      <c r="J33" s="326"/>
      <c r="K33" s="326"/>
      <c r="L33" s="326"/>
      <c r="M33" s="326"/>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26" t="s">
        <v>1374</v>
      </c>
      <c r="B34" s="326"/>
      <c r="C34" s="326"/>
      <c r="D34" s="326"/>
      <c r="E34" s="326"/>
      <c r="F34" s="326"/>
      <c r="G34" s="326"/>
      <c r="H34" s="326"/>
      <c r="I34" s="326"/>
      <c r="J34" s="326"/>
      <c r="K34" s="326"/>
      <c r="L34" s="326"/>
      <c r="M34" s="326"/>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26"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26"/>
      <c r="C35" s="326"/>
      <c r="D35" s="326"/>
      <c r="E35" s="326"/>
      <c r="F35" s="326"/>
      <c r="G35" s="326"/>
      <c r="H35" s="326"/>
      <c r="I35" s="326"/>
      <c r="J35" s="326"/>
      <c r="K35" s="326"/>
      <c r="L35" s="326"/>
      <c r="M35" s="326"/>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26" t="s">
        <v>2431</v>
      </c>
      <c r="B36" s="326"/>
      <c r="C36" s="326"/>
      <c r="D36" s="326"/>
      <c r="E36" s="326"/>
      <c r="F36" s="326"/>
      <c r="G36" s="326"/>
      <c r="H36" s="326"/>
      <c r="I36" s="326"/>
      <c r="J36" s="326"/>
      <c r="K36" s="326"/>
      <c r="L36" s="326"/>
      <c r="M36" s="326"/>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56" t="s">
        <v>2115</v>
      </c>
      <c r="B37" s="356"/>
      <c r="C37" s="356"/>
      <c r="D37" s="356"/>
      <c r="E37" s="356"/>
      <c r="F37" s="356"/>
      <c r="G37" s="356"/>
      <c r="H37" s="356"/>
      <c r="I37" s="356"/>
      <c r="J37" s="356"/>
      <c r="K37" s="356"/>
      <c r="L37" s="356"/>
      <c r="M37" s="356"/>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60" t="s">
        <v>1359</v>
      </c>
      <c r="E40" s="357" t="s">
        <v>1365</v>
      </c>
      <c r="F40" s="358"/>
      <c r="G40" s="358"/>
      <c r="H40" s="358"/>
      <c r="I40" s="358"/>
      <c r="J40" s="358"/>
      <c r="K40" s="358"/>
      <c r="L40" s="359"/>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61"/>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15810</v>
      </c>
      <c r="F42" s="39">
        <f t="array" ref="F42">+MAX(IF($B57:$B77=1,F57:F77))</f>
        <v>18060</v>
      </c>
      <c r="G42" s="39">
        <f t="array" ref="G42">+MAX(IF($B57:$B77=1,G57:G77))</f>
        <v>20310</v>
      </c>
      <c r="H42" s="39">
        <f t="array" ref="H42">+MAX(IF($B57:$B77=1,H57:H77))</f>
        <v>22560</v>
      </c>
      <c r="I42" s="39">
        <f t="array" ref="I42">+MAX(IF($B57:$B77=1,I57:I77))</f>
        <v>24390</v>
      </c>
      <c r="J42" s="39">
        <f t="array" ref="J42">+MAX(IF($B57:$B77=1,J57:J77))</f>
        <v>26190</v>
      </c>
      <c r="K42" s="39">
        <f t="array" ref="K42">+MAX(IF($B57:$B77=1,K57:K77))</f>
        <v>27990</v>
      </c>
      <c r="L42" s="40">
        <f t="array" ref="L42">+MAX(IF($B57:$B77=1,L57:L77))</f>
        <v>29790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21080</v>
      </c>
      <c r="F43" s="21">
        <f t="array" ref="F43">+MAX(IF($B79:$B99=1,F79:F99))</f>
        <v>24080</v>
      </c>
      <c r="G43" s="21">
        <f t="array" ref="G43">+MAX(IF($B79:$B99=1,G79:G99))</f>
        <v>27080</v>
      </c>
      <c r="H43" s="21">
        <f t="array" ref="H43">+MAX(IF($B79:$B99=1,H79:H99))</f>
        <v>30080</v>
      </c>
      <c r="I43" s="21">
        <f t="array" ref="I43">+MAX(IF($B79:$B99=1,I79:I99))</f>
        <v>32520</v>
      </c>
      <c r="J43" s="21">
        <f t="array" ref="J43">+MAX(IF($B79:$B99=1,J79:J99))</f>
        <v>34920</v>
      </c>
      <c r="K43" s="21">
        <f t="array" ref="K43">+MAX(IF($B79:$B99=1,K79:K99))</f>
        <v>37320</v>
      </c>
      <c r="L43" s="22">
        <f t="array" ref="L43">+MAX(IF($B79:$B99=1,L79:L99))</f>
        <v>39720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26350</v>
      </c>
      <c r="F44" s="21">
        <f t="array" ref="F44">+MAX(IF($B101:$B121=1,F101:F121))</f>
        <v>30100</v>
      </c>
      <c r="G44" s="21">
        <f t="array" ref="G44">+MAX(IF($B101:$B121=1,G101:G121))</f>
        <v>33850</v>
      </c>
      <c r="H44" s="21">
        <f t="array" ref="H44">+MAX(IF($B101:$B121=1,H101:H121))</f>
        <v>37600</v>
      </c>
      <c r="I44" s="21">
        <f t="array" ref="I44">+MAX(IF($B101:$B121=1,I101:I121))</f>
        <v>40650</v>
      </c>
      <c r="J44" s="21">
        <f t="array" ref="J44">+MAX(IF($B101:$B121=1,J101:J121))</f>
        <v>43650</v>
      </c>
      <c r="K44" s="21">
        <f t="array" ref="K44">+MAX(IF($B101:$B121=1,K101:K121))</f>
        <v>46650</v>
      </c>
      <c r="L44" s="22">
        <f t="array" ref="L44">+MAX(IF($B101:$B121=1,L101:L121))</f>
        <v>49650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31620</v>
      </c>
      <c r="F45" s="21">
        <f t="array" ref="F45">+MAX(IF($B123:$B143=1,F123:F143))</f>
        <v>36120</v>
      </c>
      <c r="G45" s="21">
        <f t="array" ref="G45">+MAX(IF($B123:$B143=1,G123:G143))</f>
        <v>40620</v>
      </c>
      <c r="H45" s="21">
        <f t="array" ref="H45">+MAX(IF($B123:$B143=1,H123:H143))</f>
        <v>45120</v>
      </c>
      <c r="I45" s="21">
        <f t="array" ref="I45">+MAX(IF($B123:$B143=1,I123:I143))</f>
        <v>48780</v>
      </c>
      <c r="J45" s="21">
        <f t="array" ref="J45">+MAX(IF($B123:$B143=1,J123:J143))</f>
        <v>52380</v>
      </c>
      <c r="K45" s="21">
        <f t="array" ref="K45">+MAX(IF($B123:$B143=1,K123:K143))</f>
        <v>55980</v>
      </c>
      <c r="L45" s="22">
        <f t="array" ref="L45">+MAX(IF($B123:$B143=1,L123:L143))</f>
        <v>59580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42160</v>
      </c>
      <c r="F46" s="24">
        <f t="array" ref="F46">+MAX(IF($B145:$B165=1,F145:F165))</f>
        <v>48160</v>
      </c>
      <c r="G46" s="24">
        <f t="array" ref="G46">+MAX(IF($B145:$B165=1,G145:G165))</f>
        <v>54160</v>
      </c>
      <c r="H46" s="24">
        <f t="array" ref="H46">+MAX(IF($B145:$B165=1,H145:H165))</f>
        <v>60160</v>
      </c>
      <c r="I46" s="24">
        <f t="array" ref="I46">+MAX(IF($B145:$B165=1,I145:I165))</f>
        <v>65040</v>
      </c>
      <c r="J46" s="24">
        <f t="array" ref="J46">+MAX(IF($B145:$B165=1,J145:J165))</f>
        <v>69840</v>
      </c>
      <c r="K46" s="24">
        <f t="array" ref="K46">+MAX(IF($B145:$B165=1,K145:K165))</f>
        <v>74640</v>
      </c>
      <c r="L46" s="25">
        <f t="array" ref="L46">+MAX(IF($B145:$B165=1,L145:L165))</f>
        <v>79440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60" t="s">
        <v>1359</v>
      </c>
      <c r="E48" s="357" t="s">
        <v>1420</v>
      </c>
      <c r="F48" s="358"/>
      <c r="G48" s="358"/>
      <c r="H48" s="358"/>
      <c r="I48" s="358"/>
      <c r="J48" s="358"/>
      <c r="K48" s="358"/>
      <c r="L48" s="359"/>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6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15810</v>
      </c>
      <c r="F50" s="39">
        <f t="array" ref="F50">+MAX(IF($C57:$C77=1,F57:F77))</f>
        <v>18060</v>
      </c>
      <c r="G50" s="39">
        <f t="array" ref="G50">+MAX(IF($C57:$C77=1,G57:G77))</f>
        <v>20310</v>
      </c>
      <c r="H50" s="39">
        <f t="array" ref="H50">+MAX(IF($C57:$C77=1,H57:H77))</f>
        <v>22560</v>
      </c>
      <c r="I50" s="39">
        <f t="array" ref="I50">+MAX(IF($C57:$C77=1,I57:I77))</f>
        <v>24390</v>
      </c>
      <c r="J50" s="39">
        <f t="array" ref="J50">+MAX(IF($C57:$C77=1,J57:J77))</f>
        <v>26190</v>
      </c>
      <c r="K50" s="39">
        <f t="array" ref="K50">+MAX(IF($C57:$C77=1,K57:K77))</f>
        <v>27990</v>
      </c>
      <c r="L50" s="40">
        <f t="array" ref="L50">+MAX(IF($C57:$C77=1,L57:L77))</f>
        <v>29790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21080</v>
      </c>
      <c r="F51" s="21">
        <f t="array" ref="F51">+MAX(IF($C79:$C99=1,F79:F99))</f>
        <v>24080</v>
      </c>
      <c r="G51" s="21">
        <f t="array" ref="G51">+MAX(IF($C79:$C99=1,G79:G99))</f>
        <v>27080</v>
      </c>
      <c r="H51" s="21">
        <f t="array" ref="H51">+MAX(IF($C79:$C99=1,H79:H99))</f>
        <v>30080</v>
      </c>
      <c r="I51" s="21">
        <f t="array" ref="I51">+MAX(IF($C79:$C99=1,I79:I99))</f>
        <v>32520</v>
      </c>
      <c r="J51" s="21">
        <f t="array" ref="J51">+MAX(IF($C79:$C99=1,J79:J99))</f>
        <v>34920</v>
      </c>
      <c r="K51" s="21">
        <f t="array" ref="K51">+MAX(IF($C79:$C99=1,K79:K99))</f>
        <v>37320</v>
      </c>
      <c r="L51" s="22">
        <f t="array" ref="L51">+MAX(IF($C79:$C99=1,L79:L99))</f>
        <v>39720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26350</v>
      </c>
      <c r="F52" s="21">
        <f t="array" ref="F52">+MAX(IF($C101:$C121=1,F101:F121))</f>
        <v>30100</v>
      </c>
      <c r="G52" s="21">
        <f t="array" ref="G52">+MAX(IF($C101:$C121=1,G101:G121))</f>
        <v>33850</v>
      </c>
      <c r="H52" s="21">
        <f t="array" ref="H52">+MAX(IF($C101:$C121=1,H101:H121))</f>
        <v>37600</v>
      </c>
      <c r="I52" s="21">
        <f t="array" ref="I52">+MAX(IF($C101:$C121=1,I101:I121))</f>
        <v>40650</v>
      </c>
      <c r="J52" s="21">
        <f t="array" ref="J52">+MAX(IF($C101:$C121=1,J101:J121))</f>
        <v>43650</v>
      </c>
      <c r="K52" s="21">
        <f t="array" ref="K52">+MAX(IF($C101:$C121=1,K101:K121))</f>
        <v>46650</v>
      </c>
      <c r="L52" s="22">
        <f t="array" ref="L52">+MAX(IF($C101:$C121=1,L101:L121))</f>
        <v>49650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31620</v>
      </c>
      <c r="F53" s="21">
        <f t="array" ref="F53">+MAX(IF($C123:$C143=1,F123:F143))</f>
        <v>36120</v>
      </c>
      <c r="G53" s="21">
        <f t="array" ref="G53">+MAX(IF($C123:$C143=1,G123:G143))</f>
        <v>40620</v>
      </c>
      <c r="H53" s="21">
        <f t="array" ref="H53">+MAX(IF($C123:$C143=1,H123:H143))</f>
        <v>45120</v>
      </c>
      <c r="I53" s="21">
        <f t="array" ref="I53">+MAX(IF($C123:$C143=1,I123:I143))</f>
        <v>48780</v>
      </c>
      <c r="J53" s="21">
        <f t="array" ref="J53">+MAX(IF($C123:$C143=1,J123:J143))</f>
        <v>52380</v>
      </c>
      <c r="K53" s="21">
        <f t="array" ref="K53">+MAX(IF($C123:$C143=1,K123:K143))</f>
        <v>55980</v>
      </c>
      <c r="L53" s="22">
        <f t="array" ref="L53">+MAX(IF($C123:$C143=1,L123:L143))</f>
        <v>59580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42160</v>
      </c>
      <c r="F54" s="24">
        <f t="array" ref="F54">+MAX(IF($C145:$C165=1,F145:F165))</f>
        <v>48160</v>
      </c>
      <c r="G54" s="24">
        <f t="array" ref="G54">+MAX(IF($C145:$C165=1,G145:G165))</f>
        <v>54160</v>
      </c>
      <c r="H54" s="24">
        <f t="array" ref="H54">+MAX(IF($C145:$C165=1,H145:H165))</f>
        <v>60160</v>
      </c>
      <c r="I54" s="24">
        <f t="array" ref="I54">+MAX(IF($C145:$C165=1,I145:I165))</f>
        <v>65040</v>
      </c>
      <c r="J54" s="24">
        <f t="array" ref="J54">+MAX(IF($C145:$C165=1,J145:J165))</f>
        <v>69840</v>
      </c>
      <c r="K54" s="24">
        <f t="array" ref="K54">+MAX(IF($C145:$C165=1,K145:K165))</f>
        <v>74640</v>
      </c>
      <c r="L54" s="25">
        <f t="array" ref="L54">+MAX(IF($C145:$C165=1,L145:L165))</f>
        <v>79440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 hidden="1">
      <c r="A56" s="100" t="s">
        <v>1413</v>
      </c>
      <c r="B56" s="101" t="s">
        <v>1414</v>
      </c>
      <c r="C56" s="106" t="s">
        <v>1364</v>
      </c>
      <c r="E56" s="136">
        <v>1</v>
      </c>
      <c r="F56" s="136">
        <v>2</v>
      </c>
      <c r="G56" s="136">
        <v>3</v>
      </c>
      <c r="H56" s="136">
        <v>4</v>
      </c>
      <c r="I56" s="136">
        <v>5</v>
      </c>
      <c r="J56" s="136">
        <v>6</v>
      </c>
      <c r="K56" s="136">
        <v>7</v>
      </c>
      <c r="L56" s="136">
        <v>8</v>
      </c>
      <c r="M56" s="98"/>
      <c r="N56" s="105">
        <v>30</v>
      </c>
      <c r="O56" s="98"/>
      <c r="P56" s="350" t="s">
        <v>1415</v>
      </c>
      <c r="Q56" s="350"/>
      <c r="R56" s="350"/>
      <c r="S56" s="350"/>
      <c r="T56" s="350"/>
      <c r="U56" s="350"/>
      <c r="V56" s="350"/>
      <c r="W56" s="350"/>
      <c r="Y56" s="352" t="s">
        <v>1416</v>
      </c>
      <c r="Z56" s="352"/>
      <c r="AA56" s="352"/>
      <c r="AB56" s="352"/>
      <c r="AC56" s="352"/>
      <c r="AD56" s="352"/>
      <c r="AE56" s="352"/>
      <c r="AF56" s="352"/>
      <c r="AH56" s="103" t="s">
        <v>1418</v>
      </c>
      <c r="AI56" s="349" t="s">
        <v>1417</v>
      </c>
      <c r="AJ56" s="349"/>
      <c r="AK56" s="349"/>
      <c r="AL56" s="349"/>
      <c r="AM56" s="349"/>
      <c r="AN56" s="349"/>
      <c r="AO56" s="349"/>
      <c r="AP56" s="349"/>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14160</v>
      </c>
      <c r="F57" s="112">
        <f t="shared" ref="F57:L64" si="12">+MAX(Q57,Z57,AJ57)</f>
        <v>16200</v>
      </c>
      <c r="G57" s="112">
        <f t="shared" si="12"/>
        <v>18210</v>
      </c>
      <c r="H57" s="112">
        <f t="shared" si="12"/>
        <v>20220</v>
      </c>
      <c r="I57" s="112">
        <f t="shared" si="12"/>
        <v>21840</v>
      </c>
      <c r="J57" s="112">
        <f t="shared" si="12"/>
        <v>23460</v>
      </c>
      <c r="K57" s="112">
        <f t="shared" si="12"/>
        <v>25080</v>
      </c>
      <c r="L57" s="112">
        <f t="shared" si="12"/>
        <v>26700</v>
      </c>
      <c r="N57" s="104" t="str">
        <f>CONCATENATE($AU$10,$B$11,$N$56)</f>
        <v>Before 12-31-2008Tarrant30</v>
      </c>
      <c r="P57" s="221">
        <f>VLOOKUP($N57,'pre 12-31-08'!$A$4:$L$1400,E$56+3,FALSE)</f>
        <v>14160</v>
      </c>
      <c r="Q57" s="221">
        <f>VLOOKUP($N57,'pre 12-31-08'!$A$4:$L$1400,F$56+3,FALSE)</f>
        <v>16200</v>
      </c>
      <c r="R57" s="221">
        <f>VLOOKUP($N57,'pre 12-31-08'!$A$4:$L$1400,G$56+3,FALSE)</f>
        <v>18210</v>
      </c>
      <c r="S57" s="221">
        <f>VLOOKUP($N57,'pre 12-31-08'!$A$4:$L$1400,H$56+3,FALSE)</f>
        <v>20220</v>
      </c>
      <c r="T57" s="221">
        <f>VLOOKUP($N57,'pre 12-31-08'!$A$4:$L$1400,I$56+3,FALSE)</f>
        <v>21840</v>
      </c>
      <c r="U57" s="221">
        <f>VLOOKUP($N57,'pre 12-31-08'!$A$4:$L$1400,J$56+3,FALSE)</f>
        <v>23460</v>
      </c>
      <c r="V57" s="221">
        <f>VLOOKUP($N57,'pre 12-31-08'!$A$4:$L$1400,K$56+3,FALSE)</f>
        <v>25080</v>
      </c>
      <c r="W57" s="221">
        <f>VLOOKUP($N57,'pre 12-31-08'!$A$4:$L$1400,L$56+3,FALSE)</f>
        <v>26700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14160</v>
      </c>
      <c r="F58" s="112">
        <f t="shared" si="12"/>
        <v>16200</v>
      </c>
      <c r="G58" s="112">
        <f t="shared" si="12"/>
        <v>18210</v>
      </c>
      <c r="H58" s="112">
        <f t="shared" si="12"/>
        <v>20220</v>
      </c>
      <c r="I58" s="112">
        <f t="shared" si="12"/>
        <v>21840</v>
      </c>
      <c r="J58" s="112">
        <f t="shared" si="12"/>
        <v>23460</v>
      </c>
      <c r="K58" s="112">
        <f t="shared" si="12"/>
        <v>25080</v>
      </c>
      <c r="L58" s="112">
        <f t="shared" si="12"/>
        <v>26700</v>
      </c>
      <c r="N58" s="104" t="str">
        <f>CONCATENATE($AU$11,$B$11,$N$56)</f>
        <v>1/1/2009 - 5/13/2010Tarrant30</v>
      </c>
      <c r="P58" s="221">
        <f>VLOOKUP($N58,'1-1-09-5-14-10'!$A$4:$L$1400,E$56+3,FALSE)</f>
        <v>14160</v>
      </c>
      <c r="Q58" s="221">
        <f>VLOOKUP($N58,'1-1-09-5-14-10'!$A$4:$L$1400,F$56+3,FALSE)</f>
        <v>16200</v>
      </c>
      <c r="R58" s="221">
        <f>VLOOKUP($N58,'1-1-09-5-14-10'!$A$4:$L$1400,G$56+3,FALSE)</f>
        <v>18210</v>
      </c>
      <c r="S58" s="221">
        <f>VLOOKUP($N58,'1-1-09-5-14-10'!$A$4:$L$1400,H$56+3,FALSE)</f>
        <v>20220</v>
      </c>
      <c r="T58" s="221">
        <f>VLOOKUP($N58,'1-1-09-5-14-10'!$A$4:$L$1400,I$56+3,FALSE)</f>
        <v>21840</v>
      </c>
      <c r="U58" s="221">
        <f>VLOOKUP($N58,'1-1-09-5-14-10'!$A$4:$L$1400,J$56+3,FALSE)</f>
        <v>23460</v>
      </c>
      <c r="V58" s="221">
        <f>VLOOKUP($N58,'1-1-09-5-14-10'!$A$4:$L$1400,K$56+3,FALSE)</f>
        <v>25080</v>
      </c>
      <c r="W58" s="221">
        <f>VLOOKUP($N58,'1-1-09-5-14-10'!$A$4:$L$1400,L$56+3,FALSE)</f>
        <v>26700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14160</v>
      </c>
      <c r="F59" s="190">
        <f t="shared" si="15"/>
        <v>16200</v>
      </c>
      <c r="G59" s="190">
        <f t="shared" si="15"/>
        <v>18210</v>
      </c>
      <c r="H59" s="190">
        <f t="shared" si="15"/>
        <v>20220</v>
      </c>
      <c r="I59" s="190">
        <f t="shared" si="15"/>
        <v>21840</v>
      </c>
      <c r="J59" s="190">
        <f t="shared" si="15"/>
        <v>23460</v>
      </c>
      <c r="K59" s="190">
        <f t="shared" si="15"/>
        <v>25080</v>
      </c>
      <c r="L59" s="190">
        <f t="shared" si="15"/>
        <v>26700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14160</v>
      </c>
      <c r="F60" s="112">
        <f t="shared" si="12"/>
        <v>16200</v>
      </c>
      <c r="G60" s="112">
        <f t="shared" si="12"/>
        <v>18210</v>
      </c>
      <c r="H60" s="112">
        <f t="shared" si="12"/>
        <v>20220</v>
      </c>
      <c r="I60" s="112">
        <f t="shared" si="12"/>
        <v>21840</v>
      </c>
      <c r="J60" s="112">
        <f t="shared" si="12"/>
        <v>23460</v>
      </c>
      <c r="K60" s="112">
        <f t="shared" si="12"/>
        <v>25080</v>
      </c>
      <c r="L60" s="112">
        <f t="shared" si="12"/>
        <v>26700</v>
      </c>
      <c r="N60" s="104" t="str">
        <f>CONCATENATE($AU$13,$B$11,$N$56)</f>
        <v>6/29/2010 - 5/30/2011Tarrant30</v>
      </c>
      <c r="P60" s="221">
        <f>VLOOKUP($N60,'5-14-10-5-31-11'!$A$4:$L$1400,E$56+3,FALSE)</f>
        <v>14160</v>
      </c>
      <c r="Q60" s="221">
        <f>VLOOKUP($N60,'5-14-10-5-31-11'!$A$4:$L$1400,F$56+3,FALSE)</f>
        <v>16200</v>
      </c>
      <c r="R60" s="221">
        <f>VLOOKUP($N60,'5-14-10-5-31-11'!$A$4:$L$1400,G$56+3,FALSE)</f>
        <v>18210</v>
      </c>
      <c r="S60" s="221">
        <f>VLOOKUP($N60,'5-14-10-5-31-11'!$A$4:$L$1400,H$56+3,FALSE)</f>
        <v>20220</v>
      </c>
      <c r="T60" s="221">
        <f>VLOOKUP($N60,'5-14-10-5-31-11'!$A$4:$L$1400,I$56+3,FALSE)</f>
        <v>21840</v>
      </c>
      <c r="U60" s="221">
        <f>VLOOKUP($N60,'5-14-10-5-31-11'!$A$4:$L$1400,J$56+3,FALSE)</f>
        <v>23460</v>
      </c>
      <c r="V60" s="221">
        <f>VLOOKUP($N60,'5-14-10-5-31-11'!$A$4:$L$1400,K$56+3,FALSE)</f>
        <v>25080</v>
      </c>
      <c r="W60" s="221">
        <f>VLOOKUP($N60,'5-14-10-5-31-11'!$A$4:$L$1400,L$56+3,FALSE)</f>
        <v>26700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14370</v>
      </c>
      <c r="F61" s="190">
        <f t="shared" si="17"/>
        <v>16410</v>
      </c>
      <c r="G61" s="190">
        <f t="shared" si="17"/>
        <v>18450</v>
      </c>
      <c r="H61" s="190">
        <f t="shared" si="17"/>
        <v>20490</v>
      </c>
      <c r="I61" s="190">
        <f t="shared" si="17"/>
        <v>22140</v>
      </c>
      <c r="J61" s="190">
        <f t="shared" si="17"/>
        <v>23790</v>
      </c>
      <c r="K61" s="190">
        <f t="shared" si="17"/>
        <v>25410</v>
      </c>
      <c r="L61" s="190">
        <f t="shared" si="17"/>
        <v>27060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14370</v>
      </c>
      <c r="F62" s="112">
        <f t="shared" si="12"/>
        <v>16410</v>
      </c>
      <c r="G62" s="112">
        <f t="shared" si="12"/>
        <v>18450</v>
      </c>
      <c r="H62" s="112">
        <f t="shared" si="12"/>
        <v>20490</v>
      </c>
      <c r="I62" s="112">
        <f t="shared" si="12"/>
        <v>22140</v>
      </c>
      <c r="J62" s="112">
        <f t="shared" si="12"/>
        <v>23790</v>
      </c>
      <c r="K62" s="112">
        <f t="shared" si="12"/>
        <v>25410</v>
      </c>
      <c r="L62" s="112">
        <f t="shared" si="12"/>
        <v>27060</v>
      </c>
      <c r="N62" s="188" t="s">
        <v>2106</v>
      </c>
      <c r="P62" s="221">
        <f>+P106/5*3</f>
        <v>14370</v>
      </c>
      <c r="Q62" s="221">
        <f t="shared" ref="Q62:W62" si="18">+Q106/5*3</f>
        <v>16410</v>
      </c>
      <c r="R62" s="221">
        <f t="shared" si="18"/>
        <v>18450</v>
      </c>
      <c r="S62" s="221">
        <f t="shared" si="18"/>
        <v>20490</v>
      </c>
      <c r="T62" s="221">
        <f t="shared" si="18"/>
        <v>22140</v>
      </c>
      <c r="U62" s="221">
        <f t="shared" si="18"/>
        <v>23790</v>
      </c>
      <c r="V62" s="221">
        <f t="shared" si="18"/>
        <v>25410</v>
      </c>
      <c r="W62" s="221">
        <f t="shared" si="18"/>
        <v>27060</v>
      </c>
      <c r="Y62" s="221">
        <f t="shared" ref="Y62:AF62" si="19">+Y106/5*3</f>
        <v>0</v>
      </c>
      <c r="Z62" s="221">
        <f t="shared" si="19"/>
        <v>0</v>
      </c>
      <c r="AA62" s="221">
        <f t="shared" si="19"/>
        <v>0</v>
      </c>
      <c r="AB62" s="221">
        <f t="shared" si="19"/>
        <v>0</v>
      </c>
      <c r="AC62" s="221">
        <f t="shared" si="19"/>
        <v>0</v>
      </c>
      <c r="AD62" s="221">
        <f t="shared" si="19"/>
        <v>0</v>
      </c>
      <c r="AE62" s="221">
        <f t="shared" si="19"/>
        <v>0</v>
      </c>
      <c r="AF62" s="221">
        <f t="shared" si="19"/>
        <v>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14550</v>
      </c>
      <c r="F63" s="190">
        <f t="shared" ref="F63:L63" si="21">+MAX(F62,F64)</f>
        <v>16620</v>
      </c>
      <c r="G63" s="190">
        <f t="shared" si="21"/>
        <v>18690</v>
      </c>
      <c r="H63" s="190">
        <f t="shared" si="21"/>
        <v>20760</v>
      </c>
      <c r="I63" s="190">
        <f t="shared" si="21"/>
        <v>22440</v>
      </c>
      <c r="J63" s="190">
        <f t="shared" si="21"/>
        <v>24090</v>
      </c>
      <c r="K63" s="190">
        <f t="shared" si="21"/>
        <v>25770</v>
      </c>
      <c r="L63" s="190">
        <f t="shared" si="21"/>
        <v>27420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14550</v>
      </c>
      <c r="F64" s="112">
        <f t="shared" si="12"/>
        <v>16620</v>
      </c>
      <c r="G64" s="112">
        <f t="shared" si="12"/>
        <v>18690</v>
      </c>
      <c r="H64" s="112">
        <f t="shared" si="12"/>
        <v>20760</v>
      </c>
      <c r="I64" s="112">
        <f t="shared" si="12"/>
        <v>22440</v>
      </c>
      <c r="J64" s="112">
        <f t="shared" si="12"/>
        <v>24090</v>
      </c>
      <c r="K64" s="112">
        <f t="shared" si="12"/>
        <v>25770</v>
      </c>
      <c r="L64" s="112">
        <f t="shared" si="12"/>
        <v>27420</v>
      </c>
      <c r="N64" s="188" t="s">
        <v>2108</v>
      </c>
      <c r="P64" s="221">
        <f t="shared" ref="P64:W64" si="22">+P108/5*3</f>
        <v>14550</v>
      </c>
      <c r="Q64" s="221">
        <f t="shared" si="22"/>
        <v>16620</v>
      </c>
      <c r="R64" s="221">
        <f t="shared" si="22"/>
        <v>18690</v>
      </c>
      <c r="S64" s="221">
        <f t="shared" si="22"/>
        <v>20760</v>
      </c>
      <c r="T64" s="221">
        <f t="shared" si="22"/>
        <v>22440</v>
      </c>
      <c r="U64" s="221">
        <f t="shared" si="22"/>
        <v>24090</v>
      </c>
      <c r="V64" s="221">
        <f t="shared" si="22"/>
        <v>25770</v>
      </c>
      <c r="W64" s="221">
        <f t="shared" si="22"/>
        <v>27420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14550</v>
      </c>
      <c r="F65" s="190">
        <f t="shared" si="25"/>
        <v>16620</v>
      </c>
      <c r="G65" s="190">
        <f t="shared" si="25"/>
        <v>18690</v>
      </c>
      <c r="H65" s="190">
        <f t="shared" si="25"/>
        <v>20760</v>
      </c>
      <c r="I65" s="190">
        <f t="shared" si="25"/>
        <v>22440</v>
      </c>
      <c r="J65" s="190">
        <f t="shared" si="25"/>
        <v>24090</v>
      </c>
      <c r="K65" s="190">
        <f t="shared" si="25"/>
        <v>25770</v>
      </c>
      <c r="L65" s="190">
        <f t="shared" si="25"/>
        <v>27420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14550</v>
      </c>
      <c r="F66" s="112">
        <f>+MAX(Q66,Z66,AJ66)</f>
        <v>16620</v>
      </c>
      <c r="G66" s="112">
        <f t="shared" ref="G66:L68" si="26">+MAX(R66,AA66,AK66)</f>
        <v>18690</v>
      </c>
      <c r="H66" s="112">
        <f t="shared" si="26"/>
        <v>20760</v>
      </c>
      <c r="I66" s="112">
        <f t="shared" si="26"/>
        <v>22440</v>
      </c>
      <c r="J66" s="112">
        <f t="shared" si="26"/>
        <v>24090</v>
      </c>
      <c r="K66" s="112">
        <f t="shared" si="26"/>
        <v>25770</v>
      </c>
      <c r="L66" s="112">
        <f t="shared" si="26"/>
        <v>27420</v>
      </c>
      <c r="N66" s="188" t="s">
        <v>2126</v>
      </c>
      <c r="P66" s="221">
        <f t="shared" ref="P66:W66" si="27">+P110/5*3</f>
        <v>13830</v>
      </c>
      <c r="Q66" s="221">
        <f t="shared" si="27"/>
        <v>15810</v>
      </c>
      <c r="R66" s="221">
        <f t="shared" si="27"/>
        <v>17790</v>
      </c>
      <c r="S66" s="221">
        <f t="shared" si="27"/>
        <v>19740</v>
      </c>
      <c r="T66" s="221">
        <f t="shared" si="27"/>
        <v>21330</v>
      </c>
      <c r="U66" s="221">
        <f t="shared" si="27"/>
        <v>22920</v>
      </c>
      <c r="V66" s="221">
        <f t="shared" si="27"/>
        <v>24480</v>
      </c>
      <c r="W66" s="221">
        <f t="shared" si="27"/>
        <v>26070</v>
      </c>
      <c r="Y66" s="221">
        <f t="shared" ref="Y66:AF66" si="28">+Y110/5*3</f>
        <v>14550</v>
      </c>
      <c r="Z66" s="221">
        <f t="shared" si="28"/>
        <v>16620</v>
      </c>
      <c r="AA66" s="221">
        <f t="shared" si="28"/>
        <v>18690</v>
      </c>
      <c r="AB66" s="221">
        <f t="shared" si="28"/>
        <v>20760</v>
      </c>
      <c r="AC66" s="221">
        <f t="shared" si="28"/>
        <v>22440</v>
      </c>
      <c r="AD66" s="221">
        <f t="shared" si="28"/>
        <v>24090</v>
      </c>
      <c r="AE66" s="221">
        <f t="shared" si="28"/>
        <v>25770</v>
      </c>
      <c r="AF66" s="221">
        <f t="shared" si="28"/>
        <v>27420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14550</v>
      </c>
      <c r="F67" s="190">
        <f t="shared" si="31"/>
        <v>16620</v>
      </c>
      <c r="G67" s="190">
        <f t="shared" si="31"/>
        <v>18690</v>
      </c>
      <c r="H67" s="190">
        <f t="shared" si="31"/>
        <v>20760</v>
      </c>
      <c r="I67" s="190">
        <f t="shared" si="31"/>
        <v>22440</v>
      </c>
      <c r="J67" s="190">
        <f t="shared" si="31"/>
        <v>24090</v>
      </c>
      <c r="K67" s="190">
        <f t="shared" si="31"/>
        <v>25770</v>
      </c>
      <c r="L67" s="190">
        <f t="shared" si="31"/>
        <v>27420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14550</v>
      </c>
      <c r="F68" s="112">
        <f>+MAX(Q68,Z68,AJ68)</f>
        <v>16620</v>
      </c>
      <c r="G68" s="112">
        <f t="shared" si="26"/>
        <v>18690</v>
      </c>
      <c r="H68" s="112">
        <f t="shared" si="26"/>
        <v>20760</v>
      </c>
      <c r="I68" s="112">
        <f t="shared" si="26"/>
        <v>22440</v>
      </c>
      <c r="J68" s="112">
        <f t="shared" si="26"/>
        <v>24090</v>
      </c>
      <c r="K68" s="112">
        <f t="shared" si="26"/>
        <v>25770</v>
      </c>
      <c r="L68" s="112">
        <f t="shared" si="26"/>
        <v>27420</v>
      </c>
      <c r="N68" s="108" t="s">
        <v>2190</v>
      </c>
      <c r="P68" s="221">
        <f>+P112/5*3</f>
        <v>13830</v>
      </c>
      <c r="Q68" s="221">
        <f t="shared" ref="Q68:W68" si="32">+Q112/5*3</f>
        <v>15810</v>
      </c>
      <c r="R68" s="221">
        <f t="shared" si="32"/>
        <v>17790</v>
      </c>
      <c r="S68" s="221">
        <f t="shared" si="32"/>
        <v>19740</v>
      </c>
      <c r="T68" s="221">
        <f t="shared" si="32"/>
        <v>21330</v>
      </c>
      <c r="U68" s="221">
        <f t="shared" si="32"/>
        <v>22920</v>
      </c>
      <c r="V68" s="221">
        <f t="shared" si="32"/>
        <v>24480</v>
      </c>
      <c r="W68" s="221">
        <f t="shared" si="32"/>
        <v>26070</v>
      </c>
      <c r="Y68" s="221">
        <f t="shared" ref="Y68:AF70" si="33">+Y112/5*3</f>
        <v>14550</v>
      </c>
      <c r="Z68" s="221">
        <f t="shared" si="33"/>
        <v>16620</v>
      </c>
      <c r="AA68" s="221">
        <f t="shared" si="33"/>
        <v>18690</v>
      </c>
      <c r="AB68" s="221">
        <f t="shared" si="33"/>
        <v>20760</v>
      </c>
      <c r="AC68" s="221">
        <f t="shared" si="33"/>
        <v>22440</v>
      </c>
      <c r="AD68" s="221">
        <f t="shared" si="33"/>
        <v>24090</v>
      </c>
      <c r="AE68" s="221">
        <f t="shared" si="33"/>
        <v>25770</v>
      </c>
      <c r="AF68" s="221">
        <f t="shared" si="33"/>
        <v>27420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14820</v>
      </c>
      <c r="F69" s="224">
        <f t="shared" ref="F69:L69" si="36">+MAX(F68,F70)</f>
        <v>16920</v>
      </c>
      <c r="G69" s="224">
        <f t="shared" si="36"/>
        <v>19050</v>
      </c>
      <c r="H69" s="224">
        <f t="shared" si="36"/>
        <v>21150</v>
      </c>
      <c r="I69" s="224">
        <f t="shared" si="36"/>
        <v>22860</v>
      </c>
      <c r="J69" s="224">
        <f t="shared" si="36"/>
        <v>24540</v>
      </c>
      <c r="K69" s="224">
        <f t="shared" si="36"/>
        <v>26250</v>
      </c>
      <c r="L69" s="224">
        <f t="shared" si="36"/>
        <v>27930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14820</v>
      </c>
      <c r="F70" s="239">
        <f>+MAX(Q70,Z70,AJ70)</f>
        <v>16920</v>
      </c>
      <c r="G70" s="239">
        <f t="shared" ref="G70:L70" si="37">+MAX(R70,AA70,AK70)</f>
        <v>19050</v>
      </c>
      <c r="H70" s="239">
        <f t="shared" si="37"/>
        <v>21150</v>
      </c>
      <c r="I70" s="239">
        <f t="shared" si="37"/>
        <v>22860</v>
      </c>
      <c r="J70" s="239">
        <f t="shared" si="37"/>
        <v>24540</v>
      </c>
      <c r="K70" s="239">
        <f t="shared" si="37"/>
        <v>26250</v>
      </c>
      <c r="L70" s="239">
        <f t="shared" si="37"/>
        <v>27930</v>
      </c>
      <c r="N70" s="108" t="s">
        <v>2229</v>
      </c>
      <c r="P70" s="221">
        <f>+P114/5*3</f>
        <v>14640</v>
      </c>
      <c r="Q70" s="221">
        <f t="shared" ref="Q70:W70" si="38">+Q114/5*3</f>
        <v>16740</v>
      </c>
      <c r="R70" s="221">
        <f t="shared" si="38"/>
        <v>18840</v>
      </c>
      <c r="S70" s="221">
        <f t="shared" si="38"/>
        <v>20910</v>
      </c>
      <c r="T70" s="221">
        <f t="shared" si="38"/>
        <v>22590</v>
      </c>
      <c r="U70" s="221">
        <f t="shared" si="38"/>
        <v>24270</v>
      </c>
      <c r="V70" s="221">
        <f t="shared" si="38"/>
        <v>25950</v>
      </c>
      <c r="W70" s="221">
        <f t="shared" si="38"/>
        <v>27630</v>
      </c>
      <c r="Y70" s="221">
        <f t="shared" si="33"/>
        <v>14820</v>
      </c>
      <c r="Z70" s="221">
        <f t="shared" si="33"/>
        <v>16920</v>
      </c>
      <c r="AA70" s="221">
        <f t="shared" si="33"/>
        <v>19050</v>
      </c>
      <c r="AB70" s="221">
        <f t="shared" si="33"/>
        <v>21150</v>
      </c>
      <c r="AC70" s="221">
        <f t="shared" si="33"/>
        <v>22860</v>
      </c>
      <c r="AD70" s="221">
        <f t="shared" si="33"/>
        <v>24540</v>
      </c>
      <c r="AE70" s="221">
        <f t="shared" si="33"/>
        <v>26250</v>
      </c>
      <c r="AF70" s="221">
        <f t="shared" si="33"/>
        <v>27930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14820</v>
      </c>
      <c r="F71" s="224">
        <f t="shared" ref="F71:L71" si="39">+MAX(F70,F72)</f>
        <v>16920</v>
      </c>
      <c r="G71" s="224">
        <f t="shared" si="39"/>
        <v>19050</v>
      </c>
      <c r="H71" s="224">
        <f t="shared" si="39"/>
        <v>21150</v>
      </c>
      <c r="I71" s="224">
        <f t="shared" si="39"/>
        <v>22860</v>
      </c>
      <c r="J71" s="224">
        <f t="shared" si="39"/>
        <v>24540</v>
      </c>
      <c r="K71" s="224">
        <f t="shared" si="39"/>
        <v>26250</v>
      </c>
      <c r="L71" s="224">
        <f t="shared" si="39"/>
        <v>27930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14820</v>
      </c>
      <c r="F72" s="239">
        <f t="shared" si="40"/>
        <v>16920</v>
      </c>
      <c r="G72" s="239">
        <f t="shared" si="40"/>
        <v>19050</v>
      </c>
      <c r="H72" s="239">
        <f t="shared" si="40"/>
        <v>21150</v>
      </c>
      <c r="I72" s="239">
        <f t="shared" si="40"/>
        <v>22860</v>
      </c>
      <c r="J72" s="239">
        <f t="shared" si="40"/>
        <v>24540</v>
      </c>
      <c r="K72" s="239">
        <f t="shared" si="40"/>
        <v>26250</v>
      </c>
      <c r="L72" s="239">
        <f t="shared" si="40"/>
        <v>27930</v>
      </c>
      <c r="N72" s="108" t="str">
        <f>AU25</f>
        <v>5/13/2016 - 4/13/2017</v>
      </c>
      <c r="P72" s="221">
        <f>+P116*0.6</f>
        <v>14580</v>
      </c>
      <c r="Q72" s="221">
        <f t="shared" ref="Q72:W72" si="41">+Q116*0.6</f>
        <v>16680</v>
      </c>
      <c r="R72" s="221">
        <f t="shared" si="41"/>
        <v>18750</v>
      </c>
      <c r="S72" s="221">
        <f t="shared" si="41"/>
        <v>20820</v>
      </c>
      <c r="T72" s="221">
        <f t="shared" si="41"/>
        <v>22500</v>
      </c>
      <c r="U72" s="221">
        <f t="shared" si="41"/>
        <v>24180</v>
      </c>
      <c r="V72" s="221">
        <f t="shared" si="41"/>
        <v>25830</v>
      </c>
      <c r="W72" s="221">
        <f t="shared" si="41"/>
        <v>27510</v>
      </c>
      <c r="Y72" s="221">
        <f>+Y116*0.6</f>
        <v>14820</v>
      </c>
      <c r="Z72" s="221">
        <f t="shared" ref="Z72:AF72" si="42">+Z116*0.6</f>
        <v>16920</v>
      </c>
      <c r="AA72" s="221">
        <f t="shared" si="42"/>
        <v>19050</v>
      </c>
      <c r="AB72" s="221">
        <f t="shared" si="42"/>
        <v>21150</v>
      </c>
      <c r="AC72" s="221">
        <f t="shared" si="42"/>
        <v>22860</v>
      </c>
      <c r="AD72" s="221">
        <f t="shared" si="42"/>
        <v>24540</v>
      </c>
      <c r="AE72" s="221">
        <f t="shared" si="42"/>
        <v>26250</v>
      </c>
      <c r="AF72" s="221">
        <f t="shared" si="42"/>
        <v>27930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15000</v>
      </c>
      <c r="F73" s="224">
        <f t="shared" si="44"/>
        <v>17160</v>
      </c>
      <c r="G73" s="224">
        <f t="shared" si="44"/>
        <v>19290</v>
      </c>
      <c r="H73" s="224">
        <f t="shared" si="44"/>
        <v>21420</v>
      </c>
      <c r="I73" s="224">
        <f t="shared" si="44"/>
        <v>23160</v>
      </c>
      <c r="J73" s="224">
        <f t="shared" si="44"/>
        <v>24870</v>
      </c>
      <c r="K73" s="224">
        <f t="shared" si="44"/>
        <v>26580</v>
      </c>
      <c r="L73" s="224">
        <f t="shared" si="44"/>
        <v>28290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15000</v>
      </c>
      <c r="F74" s="187">
        <f t="shared" ref="F74:L74" si="45">+MAX(Q74,Z74,AJ74)</f>
        <v>17160</v>
      </c>
      <c r="G74" s="187">
        <f t="shared" si="45"/>
        <v>19290</v>
      </c>
      <c r="H74" s="187">
        <f t="shared" si="45"/>
        <v>21420</v>
      </c>
      <c r="I74" s="187">
        <f t="shared" si="45"/>
        <v>23160</v>
      </c>
      <c r="J74" s="187">
        <f t="shared" si="45"/>
        <v>24870</v>
      </c>
      <c r="K74" s="187">
        <f t="shared" si="45"/>
        <v>26580</v>
      </c>
      <c r="L74" s="187">
        <f t="shared" si="45"/>
        <v>28290</v>
      </c>
      <c r="M74" s="241"/>
      <c r="N74" s="108" t="str">
        <f>AU27</f>
        <v>5/30/2017 - 3/31/2018</v>
      </c>
      <c r="O74" s="241"/>
      <c r="P74" s="226">
        <f>+P118*0.6</f>
        <v>15000</v>
      </c>
      <c r="Q74" s="226">
        <f t="shared" ref="Q74:W74" si="46">+Q118*0.6</f>
        <v>17160</v>
      </c>
      <c r="R74" s="226">
        <f t="shared" si="46"/>
        <v>19290</v>
      </c>
      <c r="S74" s="226">
        <f t="shared" si="46"/>
        <v>21420</v>
      </c>
      <c r="T74" s="226">
        <f t="shared" si="46"/>
        <v>23160</v>
      </c>
      <c r="U74" s="226">
        <f t="shared" si="46"/>
        <v>24870</v>
      </c>
      <c r="V74" s="226">
        <f t="shared" si="46"/>
        <v>26580</v>
      </c>
      <c r="W74" s="226">
        <f t="shared" si="46"/>
        <v>28290</v>
      </c>
      <c r="X74" s="241"/>
      <c r="Y74" s="226">
        <f>+Y118*0.6</f>
        <v>0</v>
      </c>
      <c r="Z74" s="226">
        <f t="shared" ref="Z74:AF76" si="47">+Z118*0.6</f>
        <v>0</v>
      </c>
      <c r="AA74" s="226">
        <f t="shared" si="47"/>
        <v>0</v>
      </c>
      <c r="AB74" s="226">
        <f t="shared" si="47"/>
        <v>0</v>
      </c>
      <c r="AC74" s="226">
        <f t="shared" si="47"/>
        <v>0</v>
      </c>
      <c r="AD74" s="226">
        <f t="shared" si="47"/>
        <v>0</v>
      </c>
      <c r="AE74" s="226">
        <f t="shared" si="47"/>
        <v>0</v>
      </c>
      <c r="AF74" s="226">
        <f t="shared" si="47"/>
        <v>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15810</v>
      </c>
      <c r="F75" s="224">
        <f t="shared" si="44"/>
        <v>18060</v>
      </c>
      <c r="G75" s="224">
        <f t="shared" si="44"/>
        <v>20310</v>
      </c>
      <c r="H75" s="224">
        <f t="shared" si="44"/>
        <v>22560</v>
      </c>
      <c r="I75" s="224">
        <f t="shared" si="44"/>
        <v>24390</v>
      </c>
      <c r="J75" s="224">
        <f t="shared" si="44"/>
        <v>26190</v>
      </c>
      <c r="K75" s="224">
        <f t="shared" si="44"/>
        <v>27990</v>
      </c>
      <c r="L75" s="224">
        <f t="shared" si="44"/>
        <v>29790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15810</v>
      </c>
      <c r="F76" s="187">
        <f t="shared" ref="F76" si="51">+MAX(Q76,Z76,AJ76)</f>
        <v>18060</v>
      </c>
      <c r="G76" s="187">
        <f t="shared" ref="G76" si="52">+MAX(R76,AA76,AK76)</f>
        <v>20310</v>
      </c>
      <c r="H76" s="187">
        <f t="shared" ref="H76" si="53">+MAX(S76,AB76,AL76)</f>
        <v>22560</v>
      </c>
      <c r="I76" s="187">
        <f t="shared" ref="I76" si="54">+MAX(T76,AC76,AM76)</f>
        <v>24390</v>
      </c>
      <c r="J76" s="187">
        <f t="shared" ref="J76" si="55">+MAX(U76,AD76,AN76)</f>
        <v>26190</v>
      </c>
      <c r="K76" s="187">
        <f t="shared" ref="K76" si="56">+MAX(V76,AE76,AO76)</f>
        <v>27990</v>
      </c>
      <c r="L76" s="187">
        <f t="shared" ref="L76" si="57">+MAX(W76,AF76,AP76)</f>
        <v>29790</v>
      </c>
      <c r="M76" s="241"/>
      <c r="N76" s="315" t="str">
        <f>AU29</f>
        <v>On or After 5/17/2018</v>
      </c>
      <c r="O76" s="241"/>
      <c r="P76" s="226">
        <f>P120*0.6</f>
        <v>15810</v>
      </c>
      <c r="Q76" s="226">
        <f t="shared" ref="Q76:W76" si="58">Q120*0.6</f>
        <v>18060</v>
      </c>
      <c r="R76" s="226">
        <f t="shared" si="58"/>
        <v>20310</v>
      </c>
      <c r="S76" s="226">
        <f t="shared" si="58"/>
        <v>22560</v>
      </c>
      <c r="T76" s="226">
        <f t="shared" si="58"/>
        <v>24390</v>
      </c>
      <c r="U76" s="226">
        <f t="shared" si="58"/>
        <v>26190</v>
      </c>
      <c r="V76" s="226">
        <f t="shared" si="58"/>
        <v>27990</v>
      </c>
      <c r="W76" s="226">
        <f t="shared" si="58"/>
        <v>29790</v>
      </c>
      <c r="X76" s="241"/>
      <c r="Y76" s="226">
        <f>+Y120*0.6</f>
        <v>0</v>
      </c>
      <c r="Z76" s="226">
        <f t="shared" si="47"/>
        <v>0</v>
      </c>
      <c r="AA76" s="226">
        <f t="shared" si="47"/>
        <v>0</v>
      </c>
      <c r="AB76" s="226">
        <f t="shared" si="47"/>
        <v>0</v>
      </c>
      <c r="AC76" s="226">
        <f t="shared" si="47"/>
        <v>0</v>
      </c>
      <c r="AD76" s="226">
        <f t="shared" si="47"/>
        <v>0</v>
      </c>
      <c r="AE76" s="226">
        <f t="shared" si="47"/>
        <v>0</v>
      </c>
      <c r="AF76" s="226">
        <f t="shared" si="47"/>
        <v>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 hidden="1">
      <c r="A78" s="100" t="s">
        <v>1413</v>
      </c>
      <c r="B78" s="101" t="s">
        <v>1414</v>
      </c>
      <c r="C78" s="106" t="s">
        <v>1364</v>
      </c>
      <c r="E78" s="136">
        <v>1</v>
      </c>
      <c r="F78" s="136">
        <v>2</v>
      </c>
      <c r="G78" s="136">
        <v>3</v>
      </c>
      <c r="H78" s="136">
        <v>4</v>
      </c>
      <c r="I78" s="136">
        <v>5</v>
      </c>
      <c r="J78" s="136">
        <v>6</v>
      </c>
      <c r="K78" s="136">
        <v>7</v>
      </c>
      <c r="L78" s="136">
        <v>8</v>
      </c>
      <c r="M78" s="98"/>
      <c r="N78" s="105">
        <v>40</v>
      </c>
      <c r="O78" s="98"/>
      <c r="P78" s="350" t="s">
        <v>1415</v>
      </c>
      <c r="Q78" s="350"/>
      <c r="R78" s="350"/>
      <c r="S78" s="350"/>
      <c r="T78" s="350"/>
      <c r="U78" s="350"/>
      <c r="V78" s="350"/>
      <c r="W78" s="350"/>
      <c r="Y78" s="352" t="s">
        <v>1416</v>
      </c>
      <c r="Z78" s="352"/>
      <c r="AA78" s="352"/>
      <c r="AB78" s="352"/>
      <c r="AC78" s="352"/>
      <c r="AD78" s="352"/>
      <c r="AE78" s="352"/>
      <c r="AF78" s="352"/>
      <c r="AI78" s="349" t="s">
        <v>1417</v>
      </c>
      <c r="AJ78" s="349"/>
      <c r="AK78" s="349"/>
      <c r="AL78" s="349"/>
      <c r="AM78" s="349"/>
      <c r="AN78" s="349"/>
      <c r="AO78" s="349"/>
      <c r="AP78" s="349"/>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18880</v>
      </c>
      <c r="F79" s="112">
        <f t="shared" si="62"/>
        <v>21600</v>
      </c>
      <c r="G79" s="112">
        <f t="shared" si="62"/>
        <v>24280</v>
      </c>
      <c r="H79" s="112">
        <f t="shared" si="62"/>
        <v>26960</v>
      </c>
      <c r="I79" s="112">
        <f t="shared" si="62"/>
        <v>29120</v>
      </c>
      <c r="J79" s="112">
        <f t="shared" si="62"/>
        <v>31280</v>
      </c>
      <c r="K79" s="112">
        <f t="shared" si="62"/>
        <v>33440</v>
      </c>
      <c r="L79" s="112">
        <f t="shared" si="62"/>
        <v>35600</v>
      </c>
      <c r="N79" s="104" t="str">
        <f>CONCATENATE($AU$10,$B$11,N78)</f>
        <v>Before 12-31-2008Tarrant40</v>
      </c>
      <c r="P79" s="221">
        <f>VLOOKUP($N79,'pre 12-31-08'!$A$4:$L$1400,E$78+3,FALSE)</f>
        <v>18880</v>
      </c>
      <c r="Q79" s="221">
        <f>VLOOKUP($N79,'pre 12-31-08'!$A$4:$L$1400,F$78+3,FALSE)</f>
        <v>21600</v>
      </c>
      <c r="R79" s="221">
        <f>VLOOKUP($N79,'pre 12-31-08'!$A$4:$L$1400,G$78+3,FALSE)</f>
        <v>24280</v>
      </c>
      <c r="S79" s="221">
        <f>VLOOKUP($N79,'pre 12-31-08'!$A$4:$L$1400,H$78+3,FALSE)</f>
        <v>26960</v>
      </c>
      <c r="T79" s="221">
        <f>VLOOKUP($N79,'pre 12-31-08'!$A$4:$L$1400,I$78+3,FALSE)</f>
        <v>29120</v>
      </c>
      <c r="U79" s="221">
        <f>VLOOKUP($N79,'pre 12-31-08'!$A$4:$L$1400,J$78+3,FALSE)</f>
        <v>31280</v>
      </c>
      <c r="V79" s="221">
        <f>VLOOKUP($N79,'pre 12-31-08'!$A$4:$L$1400,K$78+3,FALSE)</f>
        <v>33440</v>
      </c>
      <c r="W79" s="221">
        <f>VLOOKUP($N79,'pre 12-31-08'!$A$4:$L$1400,L$78+3,FALSE)</f>
        <v>35600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18880</v>
      </c>
      <c r="F80" s="112">
        <f t="shared" si="62"/>
        <v>21600</v>
      </c>
      <c r="G80" s="112">
        <f t="shared" si="62"/>
        <v>24280</v>
      </c>
      <c r="H80" s="112">
        <f t="shared" si="62"/>
        <v>26960</v>
      </c>
      <c r="I80" s="112">
        <f t="shared" si="62"/>
        <v>29120</v>
      </c>
      <c r="J80" s="112">
        <f t="shared" si="62"/>
        <v>31280</v>
      </c>
      <c r="K80" s="112">
        <f t="shared" si="62"/>
        <v>33440</v>
      </c>
      <c r="L80" s="112">
        <f t="shared" si="62"/>
        <v>35600</v>
      </c>
      <c r="N80" s="104" t="str">
        <f>CONCATENATE($AU$11,$B$11,$N$78)</f>
        <v>1/1/2009 - 5/13/2010Tarrant40</v>
      </c>
      <c r="P80" s="221">
        <f>VLOOKUP($N80,'1-1-09-5-14-10'!$A$4:$L$1400,E$78+3,FALSE)</f>
        <v>18880</v>
      </c>
      <c r="Q80" s="221">
        <f>VLOOKUP($N80,'1-1-09-5-14-10'!$A$4:$L$1400,F$78+3,FALSE)</f>
        <v>21600</v>
      </c>
      <c r="R80" s="221">
        <f>VLOOKUP($N80,'1-1-09-5-14-10'!$A$4:$L$1400,G$78+3,FALSE)</f>
        <v>24280</v>
      </c>
      <c r="S80" s="221">
        <f>VLOOKUP($N80,'1-1-09-5-14-10'!$A$4:$L$1400,H$78+3,FALSE)</f>
        <v>26960</v>
      </c>
      <c r="T80" s="221">
        <f>VLOOKUP($N80,'1-1-09-5-14-10'!$A$4:$L$1400,I$78+3,FALSE)</f>
        <v>29120</v>
      </c>
      <c r="U80" s="221">
        <f>VLOOKUP($N80,'1-1-09-5-14-10'!$A$4:$L$1400,J$78+3,FALSE)</f>
        <v>31280</v>
      </c>
      <c r="V80" s="221">
        <f>VLOOKUP($N80,'1-1-09-5-14-10'!$A$4:$L$1400,K$78+3,FALSE)</f>
        <v>33440</v>
      </c>
      <c r="W80" s="221">
        <f>VLOOKUP($N80,'1-1-09-5-14-10'!$A$4:$L$1400,L$78+3,FALSE)</f>
        <v>35600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18880</v>
      </c>
      <c r="F81" s="190">
        <f t="shared" si="65"/>
        <v>21600</v>
      </c>
      <c r="G81" s="190">
        <f t="shared" si="65"/>
        <v>24280</v>
      </c>
      <c r="H81" s="190">
        <f t="shared" si="65"/>
        <v>26960</v>
      </c>
      <c r="I81" s="190">
        <f t="shared" si="65"/>
        <v>29120</v>
      </c>
      <c r="J81" s="190">
        <f t="shared" si="65"/>
        <v>31280</v>
      </c>
      <c r="K81" s="190">
        <f t="shared" si="65"/>
        <v>33440</v>
      </c>
      <c r="L81" s="190">
        <f t="shared" si="65"/>
        <v>35600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idden="1">
      <c r="A82" s="102">
        <f t="shared" si="60"/>
        <v>0</v>
      </c>
      <c r="B82" s="102">
        <f t="shared" si="63"/>
        <v>1</v>
      </c>
      <c r="C82" s="102">
        <f t="shared" si="61"/>
        <v>1</v>
      </c>
      <c r="E82" s="112">
        <f t="shared" si="62"/>
        <v>18880</v>
      </c>
      <c r="F82" s="112">
        <f t="shared" si="62"/>
        <v>21600</v>
      </c>
      <c r="G82" s="112">
        <f t="shared" si="62"/>
        <v>24280</v>
      </c>
      <c r="H82" s="112">
        <f t="shared" si="62"/>
        <v>26960</v>
      </c>
      <c r="I82" s="112">
        <f t="shared" si="62"/>
        <v>29120</v>
      </c>
      <c r="J82" s="112">
        <f t="shared" si="62"/>
        <v>31280</v>
      </c>
      <c r="K82" s="112">
        <f t="shared" si="62"/>
        <v>33440</v>
      </c>
      <c r="L82" s="112">
        <f t="shared" si="62"/>
        <v>35600</v>
      </c>
      <c r="N82" s="104" t="str">
        <f>CONCATENATE($AU$13,$B$11,$N$78)</f>
        <v>6/29/2010 - 5/30/2011Tarrant40</v>
      </c>
      <c r="P82" s="221">
        <f>VLOOKUP($N82,'5-14-10-5-31-11'!$A$4:$L$1400,E$78+3,FALSE)</f>
        <v>18880</v>
      </c>
      <c r="Q82" s="221">
        <f>VLOOKUP($N82,'5-14-10-5-31-11'!$A$4:$L$1400,F$78+3,FALSE)</f>
        <v>21600</v>
      </c>
      <c r="R82" s="221">
        <f>VLOOKUP($N82,'5-14-10-5-31-11'!$A$4:$L$1400,G$78+3,FALSE)</f>
        <v>24280</v>
      </c>
      <c r="S82" s="221">
        <f>VLOOKUP($N82,'5-14-10-5-31-11'!$A$4:$L$1400,H$78+3,FALSE)</f>
        <v>26960</v>
      </c>
      <c r="T82" s="221">
        <f>VLOOKUP($N82,'5-14-10-5-31-11'!$A$4:$L$1400,I$78+3,FALSE)</f>
        <v>29120</v>
      </c>
      <c r="U82" s="221">
        <f>VLOOKUP($N82,'5-14-10-5-31-11'!$A$4:$L$1400,J$78+3,FALSE)</f>
        <v>31280</v>
      </c>
      <c r="V82" s="221">
        <f>VLOOKUP($N82,'5-14-10-5-31-11'!$A$4:$L$1400,K$78+3,FALSE)</f>
        <v>33440</v>
      </c>
      <c r="W82" s="221">
        <f>VLOOKUP($N82,'5-14-10-5-31-11'!$A$4:$L$1400,L$78+3,FALSE)</f>
        <v>35600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19160</v>
      </c>
      <c r="F83" s="190">
        <f t="shared" si="67"/>
        <v>21880</v>
      </c>
      <c r="G83" s="190">
        <f t="shared" si="67"/>
        <v>24600</v>
      </c>
      <c r="H83" s="190">
        <f t="shared" si="67"/>
        <v>27320</v>
      </c>
      <c r="I83" s="190">
        <f t="shared" si="67"/>
        <v>29520</v>
      </c>
      <c r="J83" s="190">
        <f t="shared" si="67"/>
        <v>31720</v>
      </c>
      <c r="K83" s="190">
        <f t="shared" si="67"/>
        <v>33880</v>
      </c>
      <c r="L83" s="190">
        <f t="shared" si="67"/>
        <v>36080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19160</v>
      </c>
      <c r="F84" s="112">
        <f t="shared" si="62"/>
        <v>21880</v>
      </c>
      <c r="G84" s="112">
        <f t="shared" si="62"/>
        <v>24600</v>
      </c>
      <c r="H84" s="112">
        <f t="shared" si="62"/>
        <v>27320</v>
      </c>
      <c r="I84" s="112">
        <f t="shared" si="62"/>
        <v>29520</v>
      </c>
      <c r="J84" s="112">
        <f t="shared" si="62"/>
        <v>31720</v>
      </c>
      <c r="K84" s="112">
        <f t="shared" si="62"/>
        <v>33880</v>
      </c>
      <c r="L84" s="112">
        <f t="shared" si="62"/>
        <v>36080</v>
      </c>
      <c r="N84" s="188" t="s">
        <v>2106</v>
      </c>
      <c r="P84" s="221">
        <f>+P106/5*4</f>
        <v>19160</v>
      </c>
      <c r="Q84" s="221">
        <f t="shared" ref="Q84:W84" si="68">+Q106/5*4</f>
        <v>21880</v>
      </c>
      <c r="R84" s="221">
        <f t="shared" si="68"/>
        <v>24600</v>
      </c>
      <c r="S84" s="221">
        <f t="shared" si="68"/>
        <v>27320</v>
      </c>
      <c r="T84" s="221">
        <f t="shared" si="68"/>
        <v>29520</v>
      </c>
      <c r="U84" s="221">
        <f t="shared" si="68"/>
        <v>31720</v>
      </c>
      <c r="V84" s="221">
        <f t="shared" si="68"/>
        <v>33880</v>
      </c>
      <c r="W84" s="221">
        <f t="shared" si="68"/>
        <v>36080</v>
      </c>
      <c r="Y84" s="221">
        <f t="shared" ref="Y84:AF84" si="69">+Y106/5*4</f>
        <v>0</v>
      </c>
      <c r="Z84" s="221">
        <f t="shared" si="69"/>
        <v>0</v>
      </c>
      <c r="AA84" s="221">
        <f t="shared" si="69"/>
        <v>0</v>
      </c>
      <c r="AB84" s="221">
        <f t="shared" si="69"/>
        <v>0</v>
      </c>
      <c r="AC84" s="221">
        <f t="shared" si="69"/>
        <v>0</v>
      </c>
      <c r="AD84" s="221">
        <f t="shared" si="69"/>
        <v>0</v>
      </c>
      <c r="AE84" s="221">
        <f t="shared" si="69"/>
        <v>0</v>
      </c>
      <c r="AF84" s="221">
        <f t="shared" si="69"/>
        <v>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19400</v>
      </c>
      <c r="F85" s="190">
        <f t="shared" si="71"/>
        <v>22160</v>
      </c>
      <c r="G85" s="190">
        <f t="shared" si="71"/>
        <v>24920</v>
      </c>
      <c r="H85" s="190">
        <f t="shared" si="71"/>
        <v>27680</v>
      </c>
      <c r="I85" s="190">
        <f t="shared" si="71"/>
        <v>29920</v>
      </c>
      <c r="J85" s="190">
        <f t="shared" si="71"/>
        <v>32120</v>
      </c>
      <c r="K85" s="190">
        <f t="shared" si="71"/>
        <v>34360</v>
      </c>
      <c r="L85" s="190">
        <f t="shared" si="71"/>
        <v>36560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19400</v>
      </c>
      <c r="F86" s="112">
        <f t="shared" si="62"/>
        <v>22160</v>
      </c>
      <c r="G86" s="112">
        <f t="shared" si="62"/>
        <v>24920</v>
      </c>
      <c r="H86" s="112">
        <f t="shared" si="62"/>
        <v>27680</v>
      </c>
      <c r="I86" s="112">
        <f t="shared" si="62"/>
        <v>29920</v>
      </c>
      <c r="J86" s="112">
        <f t="shared" si="62"/>
        <v>32120</v>
      </c>
      <c r="K86" s="112">
        <f t="shared" si="62"/>
        <v>34360</v>
      </c>
      <c r="L86" s="112">
        <f t="shared" si="62"/>
        <v>36560</v>
      </c>
      <c r="N86" s="188" t="s">
        <v>2108</v>
      </c>
      <c r="P86" s="221">
        <f t="shared" ref="P86:W86" si="72">+P108/5*4</f>
        <v>19400</v>
      </c>
      <c r="Q86" s="221">
        <f t="shared" si="72"/>
        <v>22160</v>
      </c>
      <c r="R86" s="221">
        <f t="shared" si="72"/>
        <v>24920</v>
      </c>
      <c r="S86" s="221">
        <f t="shared" si="72"/>
        <v>27680</v>
      </c>
      <c r="T86" s="221">
        <f t="shared" si="72"/>
        <v>29920</v>
      </c>
      <c r="U86" s="221">
        <f t="shared" si="72"/>
        <v>32120</v>
      </c>
      <c r="V86" s="221">
        <f t="shared" si="72"/>
        <v>34360</v>
      </c>
      <c r="W86" s="221">
        <f t="shared" si="72"/>
        <v>36560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19400</v>
      </c>
      <c r="F87" s="190">
        <f t="shared" si="75"/>
        <v>22160</v>
      </c>
      <c r="G87" s="190">
        <f t="shared" si="75"/>
        <v>24920</v>
      </c>
      <c r="H87" s="190">
        <f t="shared" si="75"/>
        <v>27680</v>
      </c>
      <c r="I87" s="190">
        <f t="shared" si="75"/>
        <v>29920</v>
      </c>
      <c r="J87" s="190">
        <f t="shared" si="75"/>
        <v>32120</v>
      </c>
      <c r="K87" s="190">
        <f t="shared" si="75"/>
        <v>34360</v>
      </c>
      <c r="L87" s="190">
        <f t="shared" si="75"/>
        <v>36560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19400</v>
      </c>
      <c r="F88" s="112">
        <f t="shared" si="62"/>
        <v>22160</v>
      </c>
      <c r="G88" s="112">
        <f t="shared" si="62"/>
        <v>24920</v>
      </c>
      <c r="H88" s="112">
        <f t="shared" si="62"/>
        <v>27680</v>
      </c>
      <c r="I88" s="112">
        <f t="shared" si="62"/>
        <v>29920</v>
      </c>
      <c r="J88" s="112">
        <f t="shared" si="62"/>
        <v>32120</v>
      </c>
      <c r="K88" s="112">
        <f t="shared" si="62"/>
        <v>34360</v>
      </c>
      <c r="L88" s="112">
        <f t="shared" si="62"/>
        <v>36560</v>
      </c>
      <c r="N88" s="188" t="s">
        <v>2126</v>
      </c>
      <c r="P88" s="221">
        <f t="shared" ref="P88:W88" si="76">+P110/5*4</f>
        <v>18440</v>
      </c>
      <c r="Q88" s="221">
        <f t="shared" si="76"/>
        <v>21080</v>
      </c>
      <c r="R88" s="221">
        <f t="shared" si="76"/>
        <v>23720</v>
      </c>
      <c r="S88" s="221">
        <f t="shared" si="76"/>
        <v>26320</v>
      </c>
      <c r="T88" s="221">
        <f t="shared" si="76"/>
        <v>28440</v>
      </c>
      <c r="U88" s="221">
        <f t="shared" si="76"/>
        <v>30560</v>
      </c>
      <c r="V88" s="221">
        <f t="shared" si="76"/>
        <v>32640</v>
      </c>
      <c r="W88" s="221">
        <f t="shared" si="76"/>
        <v>34760</v>
      </c>
      <c r="Y88" s="221">
        <f t="shared" ref="Y88:AF88" si="77">+Y110/5*4</f>
        <v>19400</v>
      </c>
      <c r="Z88" s="221">
        <f t="shared" si="77"/>
        <v>22160</v>
      </c>
      <c r="AA88" s="221">
        <f t="shared" si="77"/>
        <v>24920</v>
      </c>
      <c r="AB88" s="221">
        <f t="shared" si="77"/>
        <v>27680</v>
      </c>
      <c r="AC88" s="221">
        <f t="shared" si="77"/>
        <v>29920</v>
      </c>
      <c r="AD88" s="221">
        <f t="shared" si="77"/>
        <v>32120</v>
      </c>
      <c r="AE88" s="221">
        <f t="shared" si="77"/>
        <v>34360</v>
      </c>
      <c r="AF88" s="221">
        <f t="shared" si="77"/>
        <v>36560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19400</v>
      </c>
      <c r="F89" s="190">
        <f t="shared" si="80"/>
        <v>22160</v>
      </c>
      <c r="G89" s="190">
        <f t="shared" si="80"/>
        <v>24920</v>
      </c>
      <c r="H89" s="190">
        <f t="shared" si="80"/>
        <v>27680</v>
      </c>
      <c r="I89" s="190">
        <f t="shared" si="80"/>
        <v>29920</v>
      </c>
      <c r="J89" s="190">
        <f t="shared" si="80"/>
        <v>32120</v>
      </c>
      <c r="K89" s="190">
        <f t="shared" si="80"/>
        <v>34360</v>
      </c>
      <c r="L89" s="190">
        <f t="shared" si="80"/>
        <v>36560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19400</v>
      </c>
      <c r="F90" s="112">
        <f t="shared" si="82"/>
        <v>22160</v>
      </c>
      <c r="G90" s="112">
        <f t="shared" si="82"/>
        <v>24920</v>
      </c>
      <c r="H90" s="112">
        <f t="shared" si="82"/>
        <v>27680</v>
      </c>
      <c r="I90" s="112">
        <f t="shared" si="82"/>
        <v>29920</v>
      </c>
      <c r="J90" s="112">
        <f t="shared" si="82"/>
        <v>32120</v>
      </c>
      <c r="K90" s="112">
        <f t="shared" si="82"/>
        <v>34360</v>
      </c>
      <c r="L90" s="112">
        <f t="shared" si="82"/>
        <v>36560</v>
      </c>
      <c r="N90" s="108" t="s">
        <v>2190</v>
      </c>
      <c r="P90" s="221">
        <f>+P112/5*4</f>
        <v>18440</v>
      </c>
      <c r="Q90" s="221">
        <f t="shared" ref="Q90:W90" si="83">+Q112/5*4</f>
        <v>21080</v>
      </c>
      <c r="R90" s="221">
        <f t="shared" si="83"/>
        <v>23720</v>
      </c>
      <c r="S90" s="221">
        <f t="shared" si="83"/>
        <v>26320</v>
      </c>
      <c r="T90" s="221">
        <f t="shared" si="83"/>
        <v>28440</v>
      </c>
      <c r="U90" s="221">
        <f t="shared" si="83"/>
        <v>30560</v>
      </c>
      <c r="V90" s="221">
        <f t="shared" si="83"/>
        <v>32640</v>
      </c>
      <c r="W90" s="221">
        <f t="shared" si="83"/>
        <v>34760</v>
      </c>
      <c r="Y90" s="221">
        <f t="shared" ref="Y90:AF92" si="84">+Y112/5*4</f>
        <v>19400</v>
      </c>
      <c r="Z90" s="221">
        <f t="shared" si="84"/>
        <v>22160</v>
      </c>
      <c r="AA90" s="221">
        <f t="shared" si="84"/>
        <v>24920</v>
      </c>
      <c r="AB90" s="221">
        <f t="shared" si="84"/>
        <v>27680</v>
      </c>
      <c r="AC90" s="221">
        <f t="shared" si="84"/>
        <v>29920</v>
      </c>
      <c r="AD90" s="221">
        <f t="shared" si="84"/>
        <v>32120</v>
      </c>
      <c r="AE90" s="221">
        <f t="shared" si="84"/>
        <v>34360</v>
      </c>
      <c r="AF90" s="221">
        <f t="shared" si="84"/>
        <v>36560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19760</v>
      </c>
      <c r="F91" s="190">
        <f t="shared" ref="F91:L91" si="86">+MAX(F90,F92)</f>
        <v>22560</v>
      </c>
      <c r="G91" s="190">
        <f t="shared" si="86"/>
        <v>25400</v>
      </c>
      <c r="H91" s="190">
        <f t="shared" si="86"/>
        <v>28200</v>
      </c>
      <c r="I91" s="190">
        <f t="shared" si="86"/>
        <v>30480</v>
      </c>
      <c r="J91" s="190">
        <f t="shared" si="86"/>
        <v>32720</v>
      </c>
      <c r="K91" s="190">
        <f t="shared" si="86"/>
        <v>35000</v>
      </c>
      <c r="L91" s="190">
        <f t="shared" si="86"/>
        <v>37240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19760</v>
      </c>
      <c r="F92" s="239">
        <f t="shared" si="87"/>
        <v>22560</v>
      </c>
      <c r="G92" s="239">
        <f t="shared" si="87"/>
        <v>25400</v>
      </c>
      <c r="H92" s="239">
        <f t="shared" si="87"/>
        <v>28200</v>
      </c>
      <c r="I92" s="239">
        <f t="shared" si="87"/>
        <v>30480</v>
      </c>
      <c r="J92" s="239">
        <f t="shared" si="87"/>
        <v>32720</v>
      </c>
      <c r="K92" s="239">
        <f t="shared" si="87"/>
        <v>35000</v>
      </c>
      <c r="L92" s="239">
        <f t="shared" si="87"/>
        <v>37240</v>
      </c>
      <c r="N92" s="108" t="s">
        <v>2229</v>
      </c>
      <c r="P92" s="221">
        <f>+P114/5*4</f>
        <v>19520</v>
      </c>
      <c r="Q92" s="221">
        <f t="shared" ref="Q92:W92" si="88">+Q114/5*4</f>
        <v>22320</v>
      </c>
      <c r="R92" s="221">
        <f t="shared" si="88"/>
        <v>25120</v>
      </c>
      <c r="S92" s="221">
        <f t="shared" si="88"/>
        <v>27880</v>
      </c>
      <c r="T92" s="221">
        <f t="shared" si="88"/>
        <v>30120</v>
      </c>
      <c r="U92" s="221">
        <f t="shared" si="88"/>
        <v>32360</v>
      </c>
      <c r="V92" s="221">
        <f t="shared" si="88"/>
        <v>34600</v>
      </c>
      <c r="W92" s="221">
        <f t="shared" si="88"/>
        <v>36840</v>
      </c>
      <c r="Y92" s="221">
        <f t="shared" si="84"/>
        <v>19760</v>
      </c>
      <c r="Z92" s="221">
        <f t="shared" si="84"/>
        <v>22560</v>
      </c>
      <c r="AA92" s="221">
        <f t="shared" si="84"/>
        <v>25400</v>
      </c>
      <c r="AB92" s="221">
        <f t="shared" si="84"/>
        <v>28200</v>
      </c>
      <c r="AC92" s="221">
        <f t="shared" si="84"/>
        <v>30480</v>
      </c>
      <c r="AD92" s="221">
        <f t="shared" si="84"/>
        <v>32720</v>
      </c>
      <c r="AE92" s="221">
        <f t="shared" si="84"/>
        <v>35000</v>
      </c>
      <c r="AF92" s="221">
        <f t="shared" si="84"/>
        <v>37240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19760</v>
      </c>
      <c r="F93" s="190">
        <f t="shared" ref="F93:L93" si="89">+MAX(F92,F94)</f>
        <v>22560</v>
      </c>
      <c r="G93" s="190">
        <f t="shared" si="89"/>
        <v>25400</v>
      </c>
      <c r="H93" s="190">
        <f t="shared" si="89"/>
        <v>28200</v>
      </c>
      <c r="I93" s="190">
        <f t="shared" si="89"/>
        <v>30480</v>
      </c>
      <c r="J93" s="190">
        <f t="shared" si="89"/>
        <v>32720</v>
      </c>
      <c r="K93" s="190">
        <f t="shared" si="89"/>
        <v>35000</v>
      </c>
      <c r="L93" s="190">
        <f t="shared" si="89"/>
        <v>37240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19760</v>
      </c>
      <c r="F94" s="239">
        <f t="shared" si="90"/>
        <v>22560</v>
      </c>
      <c r="G94" s="239">
        <f t="shared" si="90"/>
        <v>25400</v>
      </c>
      <c r="H94" s="239">
        <f t="shared" si="90"/>
        <v>28200</v>
      </c>
      <c r="I94" s="239">
        <f t="shared" si="90"/>
        <v>30480</v>
      </c>
      <c r="J94" s="239">
        <f t="shared" si="90"/>
        <v>32720</v>
      </c>
      <c r="K94" s="239">
        <f t="shared" si="90"/>
        <v>35000</v>
      </c>
      <c r="L94" s="239">
        <f t="shared" si="90"/>
        <v>37240</v>
      </c>
      <c r="N94" s="108" t="s">
        <v>2269</v>
      </c>
      <c r="P94" s="221">
        <f>+P116*0.8</f>
        <v>19440</v>
      </c>
      <c r="Q94" s="221">
        <f t="shared" ref="Q94:W94" si="91">+Q116*0.8</f>
        <v>22240</v>
      </c>
      <c r="R94" s="221">
        <f t="shared" si="91"/>
        <v>25000</v>
      </c>
      <c r="S94" s="221">
        <f t="shared" si="91"/>
        <v>27760</v>
      </c>
      <c r="T94" s="221">
        <f t="shared" si="91"/>
        <v>30000</v>
      </c>
      <c r="U94" s="221">
        <f t="shared" si="91"/>
        <v>32240</v>
      </c>
      <c r="V94" s="221">
        <f t="shared" si="91"/>
        <v>34440</v>
      </c>
      <c r="W94" s="221">
        <f t="shared" si="91"/>
        <v>36680</v>
      </c>
      <c r="Y94" s="221">
        <f>+Y116*0.8</f>
        <v>19760</v>
      </c>
      <c r="Z94" s="221">
        <f t="shared" ref="Z94:AF94" si="92">+Z116*0.8</f>
        <v>22560</v>
      </c>
      <c r="AA94" s="221">
        <f t="shared" si="92"/>
        <v>25400</v>
      </c>
      <c r="AB94" s="221">
        <f t="shared" si="92"/>
        <v>28200</v>
      </c>
      <c r="AC94" s="221">
        <f t="shared" si="92"/>
        <v>30480</v>
      </c>
      <c r="AD94" s="221">
        <f t="shared" si="92"/>
        <v>32720</v>
      </c>
      <c r="AE94" s="221">
        <f t="shared" si="92"/>
        <v>35000</v>
      </c>
      <c r="AF94" s="221">
        <f t="shared" si="92"/>
        <v>37240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20000</v>
      </c>
      <c r="F95" s="224">
        <f t="shared" ref="F95:L97" si="94">+MAX(F94,F96)</f>
        <v>22880</v>
      </c>
      <c r="G95" s="224">
        <f t="shared" si="94"/>
        <v>25720</v>
      </c>
      <c r="H95" s="224">
        <f t="shared" si="94"/>
        <v>28560</v>
      </c>
      <c r="I95" s="224">
        <f t="shared" si="94"/>
        <v>30880</v>
      </c>
      <c r="J95" s="224">
        <f t="shared" si="94"/>
        <v>33160</v>
      </c>
      <c r="K95" s="224">
        <f t="shared" si="94"/>
        <v>35440</v>
      </c>
      <c r="L95" s="224">
        <f t="shared" si="94"/>
        <v>37720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20000</v>
      </c>
      <c r="F96" s="187">
        <f t="shared" ref="F96:L96" si="96">+MAX(Q96,Z96,AJ96)</f>
        <v>22880</v>
      </c>
      <c r="G96" s="187">
        <f t="shared" si="96"/>
        <v>25720</v>
      </c>
      <c r="H96" s="187">
        <f t="shared" si="96"/>
        <v>28560</v>
      </c>
      <c r="I96" s="187">
        <f t="shared" si="96"/>
        <v>30880</v>
      </c>
      <c r="J96" s="187">
        <f t="shared" si="96"/>
        <v>33160</v>
      </c>
      <c r="K96" s="187">
        <f t="shared" si="96"/>
        <v>35440</v>
      </c>
      <c r="L96" s="187">
        <f t="shared" si="96"/>
        <v>37720</v>
      </c>
      <c r="N96" s="269" t="s">
        <v>2432</v>
      </c>
      <c r="P96" s="226">
        <f>+P118*0.8</f>
        <v>20000</v>
      </c>
      <c r="Q96" s="226">
        <f t="shared" ref="Q96:W96" si="97">+Q118*0.8</f>
        <v>22880</v>
      </c>
      <c r="R96" s="226">
        <f t="shared" si="97"/>
        <v>25720</v>
      </c>
      <c r="S96" s="226">
        <f t="shared" si="97"/>
        <v>28560</v>
      </c>
      <c r="T96" s="226">
        <f t="shared" si="97"/>
        <v>30880</v>
      </c>
      <c r="U96" s="226">
        <f t="shared" si="97"/>
        <v>33160</v>
      </c>
      <c r="V96" s="226">
        <f t="shared" si="97"/>
        <v>35440</v>
      </c>
      <c r="W96" s="226">
        <f t="shared" si="97"/>
        <v>37720</v>
      </c>
      <c r="Y96" s="226">
        <f>+Y118*0.8</f>
        <v>0</v>
      </c>
      <c r="Z96" s="226">
        <f t="shared" ref="Z96:AF98" si="98">+Z118*0.8</f>
        <v>0</v>
      </c>
      <c r="AA96" s="226">
        <f t="shared" si="98"/>
        <v>0</v>
      </c>
      <c r="AB96" s="226">
        <f t="shared" si="98"/>
        <v>0</v>
      </c>
      <c r="AC96" s="226">
        <f t="shared" si="98"/>
        <v>0</v>
      </c>
      <c r="AD96" s="226">
        <f t="shared" si="98"/>
        <v>0</v>
      </c>
      <c r="AE96" s="226">
        <f t="shared" si="98"/>
        <v>0</v>
      </c>
      <c r="AF96" s="226">
        <f t="shared" si="98"/>
        <v>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21080</v>
      </c>
      <c r="F97" s="224">
        <f t="shared" si="94"/>
        <v>24080</v>
      </c>
      <c r="G97" s="224">
        <f t="shared" si="94"/>
        <v>27080</v>
      </c>
      <c r="H97" s="224">
        <f t="shared" si="94"/>
        <v>30080</v>
      </c>
      <c r="I97" s="224">
        <f t="shared" si="94"/>
        <v>32520</v>
      </c>
      <c r="J97" s="224">
        <f t="shared" si="94"/>
        <v>34920</v>
      </c>
      <c r="K97" s="224">
        <f t="shared" si="94"/>
        <v>37320</v>
      </c>
      <c r="L97" s="224">
        <f t="shared" si="94"/>
        <v>39720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21080</v>
      </c>
      <c r="F98" s="187">
        <f t="shared" ref="F98" si="102">+MAX(Q98,Z98,AJ98)</f>
        <v>24080</v>
      </c>
      <c r="G98" s="187">
        <f t="shared" ref="G98" si="103">+MAX(R98,AA98,AK98)</f>
        <v>27080</v>
      </c>
      <c r="H98" s="187">
        <f t="shared" ref="H98" si="104">+MAX(S98,AB98,AL98)</f>
        <v>30080</v>
      </c>
      <c r="I98" s="187">
        <f t="shared" ref="I98" si="105">+MAX(T98,AC98,AM98)</f>
        <v>32520</v>
      </c>
      <c r="J98" s="187">
        <f t="shared" ref="J98" si="106">+MAX(U98,AD98,AN98)</f>
        <v>34920</v>
      </c>
      <c r="K98" s="187">
        <f t="shared" ref="K98" si="107">+MAX(V98,AE98,AO98)</f>
        <v>37320</v>
      </c>
      <c r="L98" s="187">
        <f t="shared" ref="L98" si="108">+MAX(W98,AF98,AP98)</f>
        <v>39720</v>
      </c>
      <c r="N98" s="316" t="s">
        <v>2419</v>
      </c>
      <c r="P98" s="226">
        <f>P120*0.8</f>
        <v>21080</v>
      </c>
      <c r="Q98" s="226">
        <f t="shared" ref="Q98:W98" si="109">Q120*0.8</f>
        <v>24080</v>
      </c>
      <c r="R98" s="226">
        <f t="shared" si="109"/>
        <v>27080</v>
      </c>
      <c r="S98" s="226">
        <f t="shared" si="109"/>
        <v>30080</v>
      </c>
      <c r="T98" s="226">
        <f t="shared" si="109"/>
        <v>32520</v>
      </c>
      <c r="U98" s="226">
        <f t="shared" si="109"/>
        <v>34920</v>
      </c>
      <c r="V98" s="226">
        <f t="shared" si="109"/>
        <v>37320</v>
      </c>
      <c r="W98" s="226">
        <f t="shared" si="109"/>
        <v>39720</v>
      </c>
      <c r="Y98" s="226">
        <f>+Y120*0.8</f>
        <v>0</v>
      </c>
      <c r="Z98" s="226">
        <f t="shared" si="98"/>
        <v>0</v>
      </c>
      <c r="AA98" s="226">
        <f t="shared" si="98"/>
        <v>0</v>
      </c>
      <c r="AB98" s="226">
        <f t="shared" si="98"/>
        <v>0</v>
      </c>
      <c r="AC98" s="226">
        <f t="shared" si="98"/>
        <v>0</v>
      </c>
      <c r="AD98" s="226">
        <f t="shared" si="98"/>
        <v>0</v>
      </c>
      <c r="AE98" s="226">
        <f t="shared" si="98"/>
        <v>0</v>
      </c>
      <c r="AF98" s="226">
        <f t="shared" si="98"/>
        <v>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50" t="s">
        <v>1415</v>
      </c>
      <c r="Q100" s="350"/>
      <c r="R100" s="350"/>
      <c r="S100" s="350"/>
      <c r="T100" s="350"/>
      <c r="U100" s="350"/>
      <c r="V100" s="350"/>
      <c r="W100" s="350"/>
      <c r="Y100" s="352" t="s">
        <v>1416</v>
      </c>
      <c r="Z100" s="352"/>
      <c r="AA100" s="352"/>
      <c r="AB100" s="352"/>
      <c r="AC100" s="352"/>
      <c r="AD100" s="352"/>
      <c r="AE100" s="352"/>
      <c r="AF100" s="352"/>
      <c r="AI100" s="349" t="s">
        <v>1417</v>
      </c>
      <c r="AJ100" s="349"/>
      <c r="AK100" s="349"/>
      <c r="AL100" s="349"/>
      <c r="AM100" s="349"/>
      <c r="AN100" s="349"/>
      <c r="AO100" s="349"/>
      <c r="AP100" s="349"/>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23600</v>
      </c>
      <c r="F101" s="112">
        <f t="shared" si="113"/>
        <v>27000</v>
      </c>
      <c r="G101" s="112">
        <f t="shared" si="113"/>
        <v>30350</v>
      </c>
      <c r="H101" s="112">
        <f t="shared" si="113"/>
        <v>33700</v>
      </c>
      <c r="I101" s="112">
        <f t="shared" si="113"/>
        <v>36400</v>
      </c>
      <c r="J101" s="112">
        <f t="shared" si="113"/>
        <v>39100</v>
      </c>
      <c r="K101" s="112">
        <f t="shared" si="113"/>
        <v>41800</v>
      </c>
      <c r="L101" s="112">
        <f t="shared" si="113"/>
        <v>44500</v>
      </c>
      <c r="N101" s="104" t="str">
        <f>CONCATENATE($AU$10,$B$11,N100)</f>
        <v>Before 12-31-2008Tarrant50</v>
      </c>
      <c r="P101" s="226">
        <f>VLOOKUP($N101,'pre 12-31-08'!$A$4:$L$1400,E$100+3,FALSE)</f>
        <v>23600</v>
      </c>
      <c r="Q101" s="226">
        <f>VLOOKUP($N101,'pre 12-31-08'!$A$4:$L$1400,F$100+3,FALSE)</f>
        <v>27000</v>
      </c>
      <c r="R101" s="226">
        <f>VLOOKUP($N101,'pre 12-31-08'!$A$4:$L$1400,G$100+3,FALSE)</f>
        <v>30350</v>
      </c>
      <c r="S101" s="226">
        <f>VLOOKUP($N101,'pre 12-31-08'!$A$4:$L$1400,H$100+3,FALSE)</f>
        <v>33700</v>
      </c>
      <c r="T101" s="226">
        <f>VLOOKUP($N101,'pre 12-31-08'!$A$4:$L$1400,I$100+3,FALSE)</f>
        <v>36400</v>
      </c>
      <c r="U101" s="226">
        <f>VLOOKUP($N101,'pre 12-31-08'!$A$4:$L$1400,J$100+3,FALSE)</f>
        <v>39100</v>
      </c>
      <c r="V101" s="226">
        <f>VLOOKUP($N101,'pre 12-31-08'!$A$4:$L$1400,K$100+3,FALSE)</f>
        <v>41800</v>
      </c>
      <c r="W101" s="226">
        <f>VLOOKUP($N101,'pre 12-31-08'!$A$4:$L$1400,L$100+3,FALSE)</f>
        <v>44500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23600</v>
      </c>
      <c r="F102" s="112">
        <f t="shared" si="113"/>
        <v>27000</v>
      </c>
      <c r="G102" s="112">
        <f t="shared" si="113"/>
        <v>30350</v>
      </c>
      <c r="H102" s="112">
        <f t="shared" si="113"/>
        <v>33700</v>
      </c>
      <c r="I102" s="112">
        <f t="shared" si="113"/>
        <v>36400</v>
      </c>
      <c r="J102" s="112">
        <f t="shared" si="113"/>
        <v>39100</v>
      </c>
      <c r="K102" s="112">
        <f t="shared" si="113"/>
        <v>41800</v>
      </c>
      <c r="L102" s="112">
        <f t="shared" si="113"/>
        <v>44500</v>
      </c>
      <c r="N102" s="104" t="str">
        <f>CONCATENATE($AU$11,$B$11,N100)</f>
        <v>1/1/2009 - 5/13/2010Tarrant50</v>
      </c>
      <c r="P102" s="226">
        <f>VLOOKUP($N102,'1-1-09-5-14-10'!$A$4:$L$1400,E$100+3,FALSE)</f>
        <v>23600</v>
      </c>
      <c r="Q102" s="226">
        <f>VLOOKUP($N102,'1-1-09-5-14-10'!$A$4:$L$1400,F$100+3,FALSE)</f>
        <v>27000</v>
      </c>
      <c r="R102" s="226">
        <f>VLOOKUP($N102,'1-1-09-5-14-10'!$A$4:$L$1400,G$100+3,FALSE)</f>
        <v>30350</v>
      </c>
      <c r="S102" s="226">
        <f>VLOOKUP($N102,'1-1-09-5-14-10'!$A$4:$L$1400,H$100+3,FALSE)</f>
        <v>33700</v>
      </c>
      <c r="T102" s="226">
        <f>VLOOKUP($N102,'1-1-09-5-14-10'!$A$4:$L$1400,I$100+3,FALSE)</f>
        <v>36400</v>
      </c>
      <c r="U102" s="226">
        <f>VLOOKUP($N102,'1-1-09-5-14-10'!$A$4:$L$1400,J$100+3,FALSE)</f>
        <v>39100</v>
      </c>
      <c r="V102" s="226">
        <f>VLOOKUP($N102,'1-1-09-5-14-10'!$A$4:$L$1400,K$100+3,FALSE)</f>
        <v>41800</v>
      </c>
      <c r="W102" s="226">
        <f>VLOOKUP($N102,'1-1-09-5-14-10'!$A$4:$L$1400,L$100+3,FALSE)</f>
        <v>44500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23600</v>
      </c>
      <c r="F103" s="190">
        <f t="shared" si="115"/>
        <v>27000</v>
      </c>
      <c r="G103" s="190">
        <f t="shared" si="115"/>
        <v>30350</v>
      </c>
      <c r="H103" s="190">
        <f t="shared" si="115"/>
        <v>33700</v>
      </c>
      <c r="I103" s="190">
        <f t="shared" si="115"/>
        <v>36400</v>
      </c>
      <c r="J103" s="190">
        <f t="shared" si="115"/>
        <v>39100</v>
      </c>
      <c r="K103" s="190">
        <f t="shared" si="115"/>
        <v>41800</v>
      </c>
      <c r="L103" s="190">
        <f t="shared" si="115"/>
        <v>44500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23600</v>
      </c>
      <c r="F104" s="112">
        <f t="shared" si="113"/>
        <v>27000</v>
      </c>
      <c r="G104" s="112">
        <f t="shared" si="113"/>
        <v>30350</v>
      </c>
      <c r="H104" s="112">
        <f t="shared" si="113"/>
        <v>33700</v>
      </c>
      <c r="I104" s="112">
        <f t="shared" si="113"/>
        <v>36400</v>
      </c>
      <c r="J104" s="112">
        <f t="shared" si="113"/>
        <v>39100</v>
      </c>
      <c r="K104" s="112">
        <f t="shared" si="113"/>
        <v>41800</v>
      </c>
      <c r="L104" s="112">
        <f t="shared" si="113"/>
        <v>44500</v>
      </c>
      <c r="N104" s="104" t="str">
        <f>CONCATENATE($AU$13,$B$11,N100)</f>
        <v>6/29/2010 - 5/30/2011Tarrant50</v>
      </c>
      <c r="P104" s="226">
        <f>VLOOKUP($N104,'5-14-10-5-31-11'!$A$4:$L$1400,E$100+3,FALSE)</f>
        <v>23600</v>
      </c>
      <c r="Q104" s="226">
        <f>VLOOKUP($N104,'5-14-10-5-31-11'!$A$4:$L$1400,F$100+3,FALSE)</f>
        <v>27000</v>
      </c>
      <c r="R104" s="226">
        <f>VLOOKUP($N104,'5-14-10-5-31-11'!$A$4:$L$1400,G$100+3,FALSE)</f>
        <v>30350</v>
      </c>
      <c r="S104" s="226">
        <f>VLOOKUP($N104,'5-14-10-5-31-11'!$A$4:$L$1400,H$100+3,FALSE)</f>
        <v>33700</v>
      </c>
      <c r="T104" s="226">
        <f>VLOOKUP($N104,'5-14-10-5-31-11'!$A$4:$L$1400,I$100+3,FALSE)</f>
        <v>36400</v>
      </c>
      <c r="U104" s="226">
        <f>VLOOKUP($N104,'5-14-10-5-31-11'!$A$4:$L$1400,J$100+3,FALSE)</f>
        <v>39100</v>
      </c>
      <c r="V104" s="226">
        <f>VLOOKUP($N104,'5-14-10-5-31-11'!$A$4:$L$1400,K$100+3,FALSE)</f>
        <v>41800</v>
      </c>
      <c r="W104" s="226">
        <f>VLOOKUP($N104,'5-14-10-5-31-11'!$A$4:$L$1400,L$100+3,FALSE)</f>
        <v>44500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23950</v>
      </c>
      <c r="F105" s="190">
        <f t="shared" si="116"/>
        <v>27350</v>
      </c>
      <c r="G105" s="190">
        <f t="shared" si="116"/>
        <v>30750</v>
      </c>
      <c r="H105" s="190">
        <f t="shared" si="116"/>
        <v>34150</v>
      </c>
      <c r="I105" s="190">
        <f t="shared" si="116"/>
        <v>36900</v>
      </c>
      <c r="J105" s="190">
        <f t="shared" si="116"/>
        <v>39650</v>
      </c>
      <c r="K105" s="190">
        <f t="shared" si="116"/>
        <v>42350</v>
      </c>
      <c r="L105" s="190">
        <f t="shared" si="116"/>
        <v>45100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23950</v>
      </c>
      <c r="F106" s="112">
        <f t="shared" si="113"/>
        <v>27350</v>
      </c>
      <c r="G106" s="112">
        <f t="shared" si="113"/>
        <v>30750</v>
      </c>
      <c r="H106" s="112">
        <f t="shared" si="113"/>
        <v>34150</v>
      </c>
      <c r="I106" s="112">
        <f t="shared" si="113"/>
        <v>36900</v>
      </c>
      <c r="J106" s="112">
        <f t="shared" si="113"/>
        <v>39650</v>
      </c>
      <c r="K106" s="112">
        <f t="shared" si="113"/>
        <v>42350</v>
      </c>
      <c r="L106" s="112">
        <f t="shared" si="113"/>
        <v>45100</v>
      </c>
      <c r="N106" s="104" t="str">
        <f>CONCATENATE(AU15,$B$11)</f>
        <v>7/16/2011 - 11/31/2011Tarrant</v>
      </c>
      <c r="P106" s="226">
        <f>VLOOKUP($N106,'6-1-11'!$A$4:$L$257,E$100+4,FALSE)</f>
        <v>23950</v>
      </c>
      <c r="Q106" s="226">
        <f>VLOOKUP($N106,'6-1-11'!$A$4:$L$257,F$100+4,FALSE)</f>
        <v>27350</v>
      </c>
      <c r="R106" s="226">
        <f>VLOOKUP($N106,'6-1-11'!$A$4:$L$257,G$100+4,FALSE)</f>
        <v>30750</v>
      </c>
      <c r="S106" s="226">
        <f>VLOOKUP($N106,'6-1-11'!$A$4:$L$257,H$100+4,FALSE)</f>
        <v>34150</v>
      </c>
      <c r="T106" s="226">
        <f>VLOOKUP($N106,'6-1-11'!$A$4:$L$257,I$100+4,FALSE)</f>
        <v>36900</v>
      </c>
      <c r="U106" s="226">
        <f>VLOOKUP($N106,'6-1-11'!$A$4:$L$257,J$100+4,FALSE)</f>
        <v>39650</v>
      </c>
      <c r="V106" s="226">
        <f>VLOOKUP($N106,'6-1-11'!$A$4:$L$257,K$100+4,FALSE)</f>
        <v>42350</v>
      </c>
      <c r="W106" s="226">
        <f>VLOOKUP($N106,'6-1-11'!$A$4:$L$257,L$100+4,FALSE)</f>
        <v>45100</v>
      </c>
      <c r="Y106" s="226">
        <f>IF($B$18=$AU$10,VLOOKUP($N106,'6-1-11'!$A$4:$AK$257,E$100+21,FALSE),0)</f>
        <v>0</v>
      </c>
      <c r="Z106" s="226">
        <f>IF($B$18=$AU$10,VLOOKUP($N106,'6-1-11'!$A$4:$AK$257,F$100+21,FALSE),0)</f>
        <v>0</v>
      </c>
      <c r="AA106" s="226">
        <f>IF($B$18=$AU$10,VLOOKUP($N106,'6-1-11'!$A$4:$AK$257,G$100+21,FALSE),0)</f>
        <v>0</v>
      </c>
      <c r="AB106" s="226">
        <f>IF($B$18=$AU$10,VLOOKUP($N106,'6-1-11'!$A$4:$AK$257,H$100+21,FALSE),0)</f>
        <v>0</v>
      </c>
      <c r="AC106" s="226">
        <f>IF($B$18=$AU$10,VLOOKUP($N106,'6-1-11'!$A$4:$AK$257,I$100+21,FALSE),0)</f>
        <v>0</v>
      </c>
      <c r="AD106" s="226">
        <f>IF($B$18=$AU$10,VLOOKUP($N106,'6-1-11'!$A$4:$AK$257,J$100+21,FALSE),0)</f>
        <v>0</v>
      </c>
      <c r="AE106" s="226">
        <f>IF($B$18=$AU$10,VLOOKUP($N106,'6-1-11'!$A$4:$AK$257,K$100+21,FALSE),0)</f>
        <v>0</v>
      </c>
      <c r="AF106" s="226">
        <f>IF($B$18=$AU$10,VLOOKUP($N106,'6-1-11'!$A$4:$AK$257,L$100+21,FALSE),0)</f>
        <v>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24250</v>
      </c>
      <c r="F107" s="190">
        <f t="shared" si="117"/>
        <v>27700</v>
      </c>
      <c r="G107" s="190">
        <f t="shared" si="117"/>
        <v>31150</v>
      </c>
      <c r="H107" s="190">
        <f t="shared" si="117"/>
        <v>34600</v>
      </c>
      <c r="I107" s="190">
        <f t="shared" si="117"/>
        <v>37400</v>
      </c>
      <c r="J107" s="190">
        <f t="shared" si="117"/>
        <v>40150</v>
      </c>
      <c r="K107" s="190">
        <f t="shared" si="117"/>
        <v>42950</v>
      </c>
      <c r="L107" s="190">
        <f t="shared" si="117"/>
        <v>45700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24250</v>
      </c>
      <c r="F108" s="112">
        <f t="shared" si="113"/>
        <v>27700</v>
      </c>
      <c r="G108" s="112">
        <f t="shared" si="113"/>
        <v>31150</v>
      </c>
      <c r="H108" s="112">
        <f t="shared" si="113"/>
        <v>34600</v>
      </c>
      <c r="I108" s="112">
        <f t="shared" si="113"/>
        <v>37400</v>
      </c>
      <c r="J108" s="112">
        <f t="shared" si="113"/>
        <v>40150</v>
      </c>
      <c r="K108" s="112">
        <f t="shared" si="113"/>
        <v>42950</v>
      </c>
      <c r="L108" s="112">
        <f t="shared" si="113"/>
        <v>45700</v>
      </c>
      <c r="N108" s="104" t="str">
        <f>CONCATENATE(AU17,$B$11)</f>
        <v>1/16/2012 - 12/3/2012Tarrant</v>
      </c>
      <c r="P108" s="226">
        <f>VLOOKUP($N108,'12-1-11'!$A$4:$L$257,E$100+4,FALSE)</f>
        <v>24250</v>
      </c>
      <c r="Q108" s="226">
        <f>VLOOKUP($N108,'12-1-11'!$A$4:$L$257,F$100+4,FALSE)</f>
        <v>27700</v>
      </c>
      <c r="R108" s="226">
        <f>VLOOKUP($N108,'12-1-11'!$A$4:$L$257,G$100+4,FALSE)</f>
        <v>31150</v>
      </c>
      <c r="S108" s="226">
        <f>VLOOKUP($N108,'12-1-11'!$A$4:$L$257,H$100+4,FALSE)</f>
        <v>34600</v>
      </c>
      <c r="T108" s="226">
        <f>VLOOKUP($N108,'12-1-11'!$A$4:$L$257,I$100+4,FALSE)</f>
        <v>37400</v>
      </c>
      <c r="U108" s="226">
        <f>VLOOKUP($N108,'12-1-11'!$A$4:$L$257,J$100+4,FALSE)</f>
        <v>40150</v>
      </c>
      <c r="V108" s="226">
        <f>VLOOKUP($N108,'12-1-11'!$A$4:$L$257,K$100+4,FALSE)</f>
        <v>42950</v>
      </c>
      <c r="W108" s="226">
        <f>VLOOKUP($N108,'12-1-11'!$A$4:$L$257,L$100+4,FALSE)</f>
        <v>45700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24250</v>
      </c>
      <c r="F109" s="190">
        <f t="shared" si="119"/>
        <v>27700</v>
      </c>
      <c r="G109" s="190">
        <f t="shared" si="119"/>
        <v>31150</v>
      </c>
      <c r="H109" s="190">
        <f t="shared" si="119"/>
        <v>34600</v>
      </c>
      <c r="I109" s="190">
        <f t="shared" si="119"/>
        <v>37400</v>
      </c>
      <c r="J109" s="190">
        <f t="shared" si="119"/>
        <v>40150</v>
      </c>
      <c r="K109" s="190">
        <f t="shared" si="119"/>
        <v>42950</v>
      </c>
      <c r="L109" s="190">
        <f t="shared" si="119"/>
        <v>45700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24250</v>
      </c>
      <c r="F110" s="112">
        <f t="shared" si="113"/>
        <v>27700</v>
      </c>
      <c r="G110" s="112">
        <f t="shared" si="113"/>
        <v>31150</v>
      </c>
      <c r="H110" s="112">
        <f t="shared" si="113"/>
        <v>34600</v>
      </c>
      <c r="I110" s="112">
        <f t="shared" si="113"/>
        <v>37400</v>
      </c>
      <c r="J110" s="112">
        <f t="shared" si="113"/>
        <v>40150</v>
      </c>
      <c r="K110" s="112">
        <f t="shared" si="113"/>
        <v>42950</v>
      </c>
      <c r="L110" s="112">
        <f t="shared" si="113"/>
        <v>45700</v>
      </c>
      <c r="N110" s="104" t="str">
        <f>CONCATENATE(AU19,$B$11)</f>
        <v>1/18/2013 - 12/17/2013Tarrant</v>
      </c>
      <c r="P110" s="226">
        <f>VLOOKUP($N110,'2013 placeholder'!$A$4:$L$257,E$100+4,FALSE)</f>
        <v>23050</v>
      </c>
      <c r="Q110" s="226">
        <f>VLOOKUP($N110,'2013 placeholder'!$A$4:$L$257,F$100+4,FALSE)</f>
        <v>26350</v>
      </c>
      <c r="R110" s="226">
        <f>VLOOKUP($N110,'2013 placeholder'!$A$4:$L$257,G$100+4,FALSE)</f>
        <v>29650</v>
      </c>
      <c r="S110" s="226">
        <f>VLOOKUP($N110,'2013 placeholder'!$A$4:$L$257,H$100+4,FALSE)</f>
        <v>32900</v>
      </c>
      <c r="T110" s="226">
        <f>VLOOKUP($N110,'2013 placeholder'!$A$4:$L$257,I$100+4,FALSE)</f>
        <v>35550</v>
      </c>
      <c r="U110" s="226">
        <f>VLOOKUP($N110,'2013 placeholder'!$A$4:$L$257,J$100+4,FALSE)</f>
        <v>38200</v>
      </c>
      <c r="V110" s="226">
        <f>VLOOKUP($N110,'2013 placeholder'!$A$4:$L$257,K$100+4,FALSE)</f>
        <v>40800</v>
      </c>
      <c r="W110" s="226">
        <f>VLOOKUP($N110,'2013 placeholder'!$A$4:$L$257,L$100+4,FALSE)</f>
        <v>43450</v>
      </c>
      <c r="Y110" s="226">
        <f>IF($B$18=$AU$10,VLOOKUP($N110,'2013 placeholder'!$A$4:$AK$257,E$100+21,FALSE),0)</f>
        <v>24250</v>
      </c>
      <c r="Z110" s="226">
        <f>IF($B$18=$AU$10,VLOOKUP($N110,'2013 placeholder'!$A$4:$AK$257,F$100+21,FALSE),0)</f>
        <v>27700</v>
      </c>
      <c r="AA110" s="226">
        <f>IF($B$18=$AU$10,VLOOKUP($N110,'2013 placeholder'!$A$4:$AK$257,G$100+21,FALSE),0)</f>
        <v>31150</v>
      </c>
      <c r="AB110" s="226">
        <f>IF($B$18=$AU$10,VLOOKUP($N110,'2013 placeholder'!$A$4:$AK$257,H$100+21,FALSE),0)</f>
        <v>34600</v>
      </c>
      <c r="AC110" s="226">
        <f>IF($B$18=$AU$10,VLOOKUP($N110,'2013 placeholder'!$A$4:$AK$257,I$100+21,FALSE),0)</f>
        <v>37400</v>
      </c>
      <c r="AD110" s="226">
        <f>IF($B$18=$AU$10,VLOOKUP($N110,'2013 placeholder'!$A$4:$AK$257,J$100+21,FALSE),0)</f>
        <v>40150</v>
      </c>
      <c r="AE110" s="226">
        <f>IF($B$18=$AU$10,VLOOKUP($N110,'2013 placeholder'!$A$4:$AK$257,K$100+21,FALSE),0)</f>
        <v>42950</v>
      </c>
      <c r="AF110" s="226">
        <f>IF($B$18=$AU$10,VLOOKUP($N110,'2013 placeholder'!$A$4:$AK$257,L$100+21,FALSE),0)</f>
        <v>45700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24250</v>
      </c>
      <c r="F111" s="190">
        <f t="shared" si="121"/>
        <v>27700</v>
      </c>
      <c r="G111" s="190">
        <f t="shared" si="121"/>
        <v>31150</v>
      </c>
      <c r="H111" s="190">
        <f t="shared" si="121"/>
        <v>34600</v>
      </c>
      <c r="I111" s="190">
        <f t="shared" si="121"/>
        <v>37400</v>
      </c>
      <c r="J111" s="190">
        <f t="shared" si="121"/>
        <v>40150</v>
      </c>
      <c r="K111" s="190">
        <f t="shared" si="121"/>
        <v>42950</v>
      </c>
      <c r="L111" s="190">
        <f t="shared" si="121"/>
        <v>45700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24250</v>
      </c>
      <c r="F112" s="112">
        <f t="shared" si="122"/>
        <v>27700</v>
      </c>
      <c r="G112" s="112">
        <f t="shared" si="122"/>
        <v>31150</v>
      </c>
      <c r="H112" s="112">
        <f t="shared" si="122"/>
        <v>34600</v>
      </c>
      <c r="I112" s="112">
        <f t="shared" si="122"/>
        <v>37400</v>
      </c>
      <c r="J112" s="112">
        <f t="shared" si="122"/>
        <v>40150</v>
      </c>
      <c r="K112" s="112">
        <f t="shared" si="122"/>
        <v>42950</v>
      </c>
      <c r="L112" s="112">
        <f t="shared" si="122"/>
        <v>45700</v>
      </c>
      <c r="N112" s="108" t="str">
        <f>CONCATENATE(AU21,$B$11)</f>
        <v>2/1/2014 - 3/5/2015Tarrant</v>
      </c>
      <c r="P112" s="226">
        <f>VLOOKUP($N112,'2014 placeholder'!$A$4:$L$257,E$100+4,FALSE)</f>
        <v>23050</v>
      </c>
      <c r="Q112" s="226">
        <f>VLOOKUP($N112,'2014 placeholder'!$A$4:$L$257,F$100+4,FALSE)</f>
        <v>26350</v>
      </c>
      <c r="R112" s="226">
        <f>VLOOKUP($N112,'2014 placeholder'!$A$4:$L$257,G$100+4,FALSE)</f>
        <v>29650</v>
      </c>
      <c r="S112" s="226">
        <f>VLOOKUP($N112,'2014 placeholder'!$A$4:$L$257,H$100+4,FALSE)</f>
        <v>32900</v>
      </c>
      <c r="T112" s="226">
        <f>VLOOKUP($N112,'2014 placeholder'!$A$4:$L$257,I$100+4,FALSE)</f>
        <v>35550</v>
      </c>
      <c r="U112" s="226">
        <f>VLOOKUP($N112,'2014 placeholder'!$A$4:$L$257,J$100+4,FALSE)</f>
        <v>38200</v>
      </c>
      <c r="V112" s="226">
        <f>VLOOKUP($N112,'2014 placeholder'!$A$4:$L$257,K$100+4,FALSE)</f>
        <v>40800</v>
      </c>
      <c r="W112" s="226">
        <f>VLOOKUP($N112,'2014 placeholder'!$A$4:$L$257,L$100+4,FALSE)</f>
        <v>43450</v>
      </c>
      <c r="Y112" s="226">
        <f>IF($B$18=$AU$10,VLOOKUP($N112,'2014 placeholder'!$A$4:$AK$257,E$100+21,FALSE),0)</f>
        <v>24250</v>
      </c>
      <c r="Z112" s="226">
        <f>IF($B$18=$AU$10,VLOOKUP($N112,'2014 placeholder'!$A$4:$AK$257,F$100+21,FALSE),0)</f>
        <v>27700</v>
      </c>
      <c r="AA112" s="226">
        <f>IF($B$18=$AU$10,VLOOKUP($N112,'2014 placeholder'!$A$4:$AK$257,G$100+21,FALSE),0)</f>
        <v>31150</v>
      </c>
      <c r="AB112" s="226">
        <f>IF($B$18=$AU$10,VLOOKUP($N112,'2014 placeholder'!$A$4:$AK$257,H$100+21,FALSE),0)</f>
        <v>34600</v>
      </c>
      <c r="AC112" s="226">
        <f>IF($B$18=$AU$10,VLOOKUP($N112,'2014 placeholder'!$A$4:$AK$257,I$100+21,FALSE),0)</f>
        <v>37400</v>
      </c>
      <c r="AD112" s="226">
        <f>IF($B$18=$AU$10,VLOOKUP($N112,'2014 placeholder'!$A$4:$AK$257,J$100+21,FALSE),0)</f>
        <v>40150</v>
      </c>
      <c r="AE112" s="226">
        <f>IF($B$18=$AU$10,VLOOKUP($N112,'2014 placeholder'!$A$4:$AK$257,K$100+21,FALSE),0)</f>
        <v>42950</v>
      </c>
      <c r="AF112" s="226">
        <f>IF($B$18=$AU$10,VLOOKUP($N112,'2014 placeholder'!$A$4:$AK$257,L$100+21,FALSE),0)</f>
        <v>45700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24700</v>
      </c>
      <c r="F113" s="190">
        <f t="shared" ref="F113:L113" si="123">+MAX(F112,F114)</f>
        <v>28200</v>
      </c>
      <c r="G113" s="190">
        <f t="shared" si="123"/>
        <v>31750</v>
      </c>
      <c r="H113" s="190">
        <f t="shared" si="123"/>
        <v>35250</v>
      </c>
      <c r="I113" s="190">
        <f t="shared" si="123"/>
        <v>38100</v>
      </c>
      <c r="J113" s="190">
        <f t="shared" si="123"/>
        <v>40900</v>
      </c>
      <c r="K113" s="190">
        <f t="shared" si="123"/>
        <v>43750</v>
      </c>
      <c r="L113" s="190">
        <f t="shared" si="123"/>
        <v>46550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24700</v>
      </c>
      <c r="F114" s="239">
        <f t="shared" si="124"/>
        <v>28200</v>
      </c>
      <c r="G114" s="239">
        <f t="shared" si="124"/>
        <v>31750</v>
      </c>
      <c r="H114" s="239">
        <f t="shared" si="124"/>
        <v>35250</v>
      </c>
      <c r="I114" s="239">
        <f t="shared" si="124"/>
        <v>38100</v>
      </c>
      <c r="J114" s="239">
        <f t="shared" si="124"/>
        <v>40900</v>
      </c>
      <c r="K114" s="239">
        <f t="shared" si="124"/>
        <v>43750</v>
      </c>
      <c r="L114" s="239">
        <f t="shared" si="124"/>
        <v>46550</v>
      </c>
      <c r="N114" s="108" t="str">
        <f>CONCATENATE(AU23,$B$11)</f>
        <v>4/21/2015 - 3/27/2016Tarrant</v>
      </c>
      <c r="P114" s="226">
        <f>VLOOKUP($N114,'2015 MTSP Limits'!$A$4:$L$257,E$100+4,FALSE)</f>
        <v>24400</v>
      </c>
      <c r="Q114" s="226">
        <f>VLOOKUP($N114,'2015 MTSP Limits'!$A$4:$L$257,F$100+4,FALSE)</f>
        <v>27900</v>
      </c>
      <c r="R114" s="226">
        <f>VLOOKUP($N114,'2015 MTSP Limits'!$A$4:$L$257,G$100+4,FALSE)</f>
        <v>31400</v>
      </c>
      <c r="S114" s="226">
        <f>VLOOKUP($N114,'2015 MTSP Limits'!$A$4:$L$257,H$100+4,FALSE)</f>
        <v>34850</v>
      </c>
      <c r="T114" s="226">
        <f>VLOOKUP($N114,'2015 MTSP Limits'!$A$4:$L$257,I$100+4,FALSE)</f>
        <v>37650</v>
      </c>
      <c r="U114" s="226">
        <f>VLOOKUP($N114,'2015 MTSP Limits'!$A$4:$L$257,J$100+4,FALSE)</f>
        <v>40450</v>
      </c>
      <c r="V114" s="226">
        <f>VLOOKUP($N114,'2015 MTSP Limits'!$A$4:$L$257,K$100+4,FALSE)</f>
        <v>43250</v>
      </c>
      <c r="W114" s="226">
        <f>VLOOKUP($N114,'2015 MTSP Limits'!$A$4:$L$257,L$100+4,FALSE)</f>
        <v>46050</v>
      </c>
      <c r="Y114" s="226">
        <f>IF($B$18=$AU$10,VLOOKUP($N114,'2015 MTSP Limits'!$A$4:$AK$257,E$100+21,FALSE),0)</f>
        <v>24700</v>
      </c>
      <c r="Z114" s="226">
        <f>IF($B$18=$AU$10,VLOOKUP($N114,'2015 MTSP Limits'!$A$4:$AK$257,F$100+21,FALSE),0)</f>
        <v>28200</v>
      </c>
      <c r="AA114" s="226">
        <f>IF($B$18=$AU$10,VLOOKUP($N114,'2015 MTSP Limits'!$A$4:$AK$257,G$100+21,FALSE),0)</f>
        <v>31750</v>
      </c>
      <c r="AB114" s="226">
        <f>IF($B$18=$AU$10,VLOOKUP($N114,'2015 MTSP Limits'!$A$4:$AK$257,H$100+21,FALSE),0)</f>
        <v>35250</v>
      </c>
      <c r="AC114" s="226">
        <f>IF($B$18=$AU$10,VLOOKUP($N114,'2015 MTSP Limits'!$A$4:$AK$257,I$100+21,FALSE),0)</f>
        <v>38100</v>
      </c>
      <c r="AD114" s="226">
        <f>IF($B$18=$AU$10,VLOOKUP($N114,'2015 MTSP Limits'!$A$4:$AK$257,J$100+21,FALSE),0)</f>
        <v>40900</v>
      </c>
      <c r="AE114" s="226">
        <f>IF($B$18=$AU$10,VLOOKUP($N114,'2015 MTSP Limits'!$A$4:$AK$257,K$100+21,FALSE),0)</f>
        <v>43750</v>
      </c>
      <c r="AF114" s="226">
        <f>IF($B$18=$AU$10,VLOOKUP($N114,'2015 MTSP Limits'!$A$4:$AK$257,L$100+21,FALSE),0)</f>
        <v>46550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24700</v>
      </c>
      <c r="F115" s="190">
        <f t="shared" ref="F115:L115" si="125">+MAX(F114,F116)</f>
        <v>28200</v>
      </c>
      <c r="G115" s="190">
        <f t="shared" si="125"/>
        <v>31750</v>
      </c>
      <c r="H115" s="190">
        <f t="shared" si="125"/>
        <v>35250</v>
      </c>
      <c r="I115" s="190">
        <f t="shared" si="125"/>
        <v>38100</v>
      </c>
      <c r="J115" s="190">
        <f t="shared" si="125"/>
        <v>40900</v>
      </c>
      <c r="K115" s="190">
        <f t="shared" si="125"/>
        <v>43750</v>
      </c>
      <c r="L115" s="190">
        <f t="shared" si="125"/>
        <v>46550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24700</v>
      </c>
      <c r="F116" s="239">
        <f t="shared" si="126"/>
        <v>28200</v>
      </c>
      <c r="G116" s="239">
        <f t="shared" si="126"/>
        <v>31750</v>
      </c>
      <c r="H116" s="239">
        <f t="shared" si="126"/>
        <v>35250</v>
      </c>
      <c r="I116" s="239">
        <f t="shared" si="126"/>
        <v>38100</v>
      </c>
      <c r="J116" s="239">
        <f t="shared" si="126"/>
        <v>40900</v>
      </c>
      <c r="K116" s="239">
        <f t="shared" si="126"/>
        <v>43750</v>
      </c>
      <c r="L116" s="239">
        <f t="shared" si="126"/>
        <v>46550</v>
      </c>
      <c r="N116" s="108" t="str">
        <f>CONCATENATE(AU25,$B$11)</f>
        <v>5/13/2016 - 4/13/2017Tarrant</v>
      </c>
      <c r="P116" s="226">
        <f>VLOOKUP($N116,MTSP2016!$A$4:$L$257,E$100+4,FALSE)</f>
        <v>24300</v>
      </c>
      <c r="Q116" s="226">
        <f>VLOOKUP($N116,MTSP2016!$A$4:$L$257,F$100+4,FALSE)</f>
        <v>27800</v>
      </c>
      <c r="R116" s="226">
        <f>VLOOKUP($N116,MTSP2016!$A$4:$L$257,G$100+4,FALSE)</f>
        <v>31250</v>
      </c>
      <c r="S116" s="226">
        <f>VLOOKUP($N116,MTSP2016!$A$4:$L$257,H$100+4,FALSE)</f>
        <v>34700</v>
      </c>
      <c r="T116" s="226">
        <f>VLOOKUP($N116,MTSP2016!$A$4:$L$257,I$100+4,FALSE)</f>
        <v>37500</v>
      </c>
      <c r="U116" s="226">
        <f>VLOOKUP($N116,MTSP2016!$A$4:$L$257,J$100+4,FALSE)</f>
        <v>40300</v>
      </c>
      <c r="V116" s="226">
        <f>VLOOKUP($N116,MTSP2016!$A$4:$L$257,K$100+4,FALSE)</f>
        <v>43050</v>
      </c>
      <c r="W116" s="226">
        <f>VLOOKUP($N116,MTSP2016!$A$4:$L$257,L$100+4,FALSE)</f>
        <v>45850</v>
      </c>
      <c r="X116" s="241"/>
      <c r="Y116" s="226">
        <f>IF($B$18=$AU$10,VLOOKUP($N116,MTSP2016!$A$4:$AK$257,E$100+21,FALSE),0)</f>
        <v>24700</v>
      </c>
      <c r="Z116" s="226">
        <f>IF($B$18=$AU$10,VLOOKUP($N116,MTSP2016!$A$4:$AK$257,F$100+21,FALSE),0)</f>
        <v>28200</v>
      </c>
      <c r="AA116" s="226">
        <f>IF($B$18=$AU$10,VLOOKUP($N116,MTSP2016!$A$4:$AK$257,G$100+21,FALSE),0)</f>
        <v>31750</v>
      </c>
      <c r="AB116" s="226">
        <f>IF($B$18=$AU$10,VLOOKUP($N116,MTSP2016!$A$4:$AK$257,H$100+21,FALSE),0)</f>
        <v>35250</v>
      </c>
      <c r="AC116" s="226">
        <f>IF($B$18=$AU$10,VLOOKUP($N116,MTSP2016!$A$4:$AK$257,I$100+21,FALSE),0)</f>
        <v>38100</v>
      </c>
      <c r="AD116" s="226">
        <f>IF($B$18=$AU$10,VLOOKUP($N116,MTSP2016!$A$4:$AK$257,J$100+21,FALSE),0)</f>
        <v>40900</v>
      </c>
      <c r="AE116" s="226">
        <f>IF($B$18=$AU$10,VLOOKUP($N116,MTSP2016!$A$4:$AK$257,K$100+21,FALSE),0)</f>
        <v>43750</v>
      </c>
      <c r="AF116" s="226">
        <f>IF($B$18=$AU$10,VLOOKUP($N116,MTSP2016!$A$4:$AK$257,L$100+21,FALSE),0)</f>
        <v>46550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25000</v>
      </c>
      <c r="F117" s="224">
        <f t="shared" ref="F117:L119" si="127">+MAX(F116,F118)</f>
        <v>28600</v>
      </c>
      <c r="G117" s="224">
        <f t="shared" si="127"/>
        <v>32150</v>
      </c>
      <c r="H117" s="224">
        <f t="shared" si="127"/>
        <v>35700</v>
      </c>
      <c r="I117" s="224">
        <f t="shared" si="127"/>
        <v>38600</v>
      </c>
      <c r="J117" s="224">
        <f t="shared" si="127"/>
        <v>41450</v>
      </c>
      <c r="K117" s="224">
        <f t="shared" si="127"/>
        <v>44300</v>
      </c>
      <c r="L117" s="224">
        <f t="shared" si="127"/>
        <v>47150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25000</v>
      </c>
      <c r="F118" s="187">
        <f t="shared" ref="F118:L118" si="129">+MAX(Q118,Z118,AJ118)</f>
        <v>28600</v>
      </c>
      <c r="G118" s="187">
        <f t="shared" si="129"/>
        <v>32150</v>
      </c>
      <c r="H118" s="187">
        <f t="shared" si="129"/>
        <v>35700</v>
      </c>
      <c r="I118" s="187">
        <f t="shared" si="129"/>
        <v>38600</v>
      </c>
      <c r="J118" s="187">
        <f t="shared" si="129"/>
        <v>41450</v>
      </c>
      <c r="K118" s="187">
        <f t="shared" si="129"/>
        <v>44300</v>
      </c>
      <c r="L118" s="187">
        <f t="shared" si="129"/>
        <v>47150</v>
      </c>
      <c r="N118" s="269" t="str">
        <f>CONCATENATE(AU27,$B$11)</f>
        <v>5/30/2017 - 3/31/2018Tarrant</v>
      </c>
      <c r="P118" s="226">
        <f>VLOOKUP($N118,MTSP2017!A4:L257,E$100+4,FALSE)</f>
        <v>25000</v>
      </c>
      <c r="Q118" s="226">
        <f>VLOOKUP($N118,MTSP2017!A4:L257,F$100+4,FALSE)</f>
        <v>28600</v>
      </c>
      <c r="R118" s="226">
        <f>VLOOKUP($N118,MTSP2017!A4:L257,G$100+4,FALSE)</f>
        <v>32150</v>
      </c>
      <c r="S118" s="226">
        <f>VLOOKUP($N118,MTSP2017!A4:L257,H$100+4,FALSE)</f>
        <v>35700</v>
      </c>
      <c r="T118" s="226">
        <f>VLOOKUP($N118,MTSP2017!A4:L257,I$100+4,FALSE)</f>
        <v>38600</v>
      </c>
      <c r="U118" s="226">
        <f>VLOOKUP($N118,MTSP2017!A4:L257,J$100+4,FALSE)</f>
        <v>41450</v>
      </c>
      <c r="V118" s="226">
        <f>VLOOKUP($N118,MTSP2017!A4:L257,K$100+4,FALSE)</f>
        <v>44300</v>
      </c>
      <c r="W118" s="226">
        <f>VLOOKUP($N118,MTSP2017!A4:L257,L$100+4,FALSE)</f>
        <v>47150</v>
      </c>
      <c r="Y118" s="226">
        <f>IF($B$18=$AU$10,VLOOKUP($N$118,MTSP2017!A4:AK257,E$100+21,FALSE),0)</f>
        <v>0</v>
      </c>
      <c r="Z118" s="226">
        <f>IF($B$18=$AU$10,VLOOKUP($N$118,MTSP2017!A4:AK257,F$100+21,FALSE),0)</f>
        <v>0</v>
      </c>
      <c r="AA118" s="226">
        <f>IF($B$18=$AU$10,VLOOKUP($N$118,MTSP2017!A4:AK257,G$100+21,FALSE),0)</f>
        <v>0</v>
      </c>
      <c r="AB118" s="226">
        <f>IF($B$18=$AU$10,VLOOKUP($N$118,MTSP2017!A4:AK257,H$100+21,FALSE),0)</f>
        <v>0</v>
      </c>
      <c r="AC118" s="226">
        <f>IF($B$18=$AU$10,VLOOKUP($N$118,MTSP2017!A4:AK257,I$100+21,FALSE),0)</f>
        <v>0</v>
      </c>
      <c r="AD118" s="226">
        <f>IF($B$18=$AU$10,VLOOKUP($N$118,MTSP2017!A4:AK257,J$100+21,FALSE),0)</f>
        <v>0</v>
      </c>
      <c r="AE118" s="226">
        <f>IF($B$18=$AU$10,VLOOKUP($N$118,MTSP2017!A4:AK257,K$100+21,FALSE),0)</f>
        <v>0</v>
      </c>
      <c r="AF118" s="226">
        <f>IF($B$18=$AU$10,VLOOKUP($N$118,MTSP2017!A4:AK257,L$100+21,FALSE),0)</f>
        <v>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26350</v>
      </c>
      <c r="F119" s="224">
        <f t="shared" si="127"/>
        <v>30100</v>
      </c>
      <c r="G119" s="224">
        <f t="shared" si="127"/>
        <v>33850</v>
      </c>
      <c r="H119" s="224">
        <f t="shared" si="127"/>
        <v>37600</v>
      </c>
      <c r="I119" s="224">
        <f t="shared" si="127"/>
        <v>40650</v>
      </c>
      <c r="J119" s="224">
        <f t="shared" si="127"/>
        <v>43650</v>
      </c>
      <c r="K119" s="224">
        <f t="shared" si="127"/>
        <v>46650</v>
      </c>
      <c r="L119" s="224">
        <f t="shared" si="127"/>
        <v>49650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26350</v>
      </c>
      <c r="F120" s="187">
        <f t="shared" ref="F120" si="132">+MAX(Q120,Z120,AJ120)</f>
        <v>30100</v>
      </c>
      <c r="G120" s="187">
        <f t="shared" ref="G120" si="133">+MAX(R120,AA120,AK120)</f>
        <v>33850</v>
      </c>
      <c r="H120" s="187">
        <f t="shared" ref="H120" si="134">+MAX(S120,AB120,AL120)</f>
        <v>37600</v>
      </c>
      <c r="I120" s="187">
        <f t="shared" ref="I120" si="135">+MAX(T120,AC120,AM120)</f>
        <v>40650</v>
      </c>
      <c r="J120" s="187">
        <f t="shared" ref="J120" si="136">+MAX(U120,AD120,AN120)</f>
        <v>43650</v>
      </c>
      <c r="K120" s="187">
        <f t="shared" ref="K120" si="137">+MAX(V120,AE120,AO120)</f>
        <v>46650</v>
      </c>
      <c r="L120" s="187">
        <f t="shared" ref="L120" si="138">+MAX(W120,AF120,AP120)</f>
        <v>49650</v>
      </c>
      <c r="N120" s="269" t="str">
        <f>CONCATENATE(AU29,$B$11)</f>
        <v>On or After 5/17/2018Tarrant</v>
      </c>
      <c r="P120" s="226">
        <f>INDEX(MTSP2018!E3:E257,MATCH('Income-Rent Tool'!$N$120,MTSP2018!$A$3:$A$257,0))</f>
        <v>26350</v>
      </c>
      <c r="Q120" s="226">
        <f>INDEX(MTSP2018!F3:F257,MATCH('Income-Rent Tool'!$N$120,MTSP2018!$A$3:$A$257,0))</f>
        <v>30100</v>
      </c>
      <c r="R120" s="226">
        <f>INDEX(MTSP2018!G3:G257,MATCH('Income-Rent Tool'!$N$120,MTSP2018!$A$3:$A$257,0))</f>
        <v>33850</v>
      </c>
      <c r="S120" s="226">
        <f>INDEX(MTSP2018!H3:H257,MATCH('Income-Rent Tool'!$N$120,MTSP2018!$A$3:$A$257,0))</f>
        <v>37600</v>
      </c>
      <c r="T120" s="226">
        <f>INDEX(MTSP2018!I3:I257,MATCH('Income-Rent Tool'!$N$120,MTSP2018!$A$3:$A$257,0))</f>
        <v>40650</v>
      </c>
      <c r="U120" s="226">
        <f>INDEX(MTSP2018!J3:J257,MATCH('Income-Rent Tool'!$N$120,MTSP2018!$A$3:$A$257,0))</f>
        <v>43650</v>
      </c>
      <c r="V120" s="226">
        <f>INDEX(MTSP2018!K3:K257,MATCH('Income-Rent Tool'!$N$120,MTSP2018!$A$3:$A$257,0))</f>
        <v>46650</v>
      </c>
      <c r="W120" s="226">
        <f>INDEX(MTSP2018!L3:L257,MATCH('Income-Rent Tool'!$N$120,MTSP2018!$A$3:$A$257,0))</f>
        <v>49650</v>
      </c>
      <c r="Y120" s="226">
        <f>IF($B$18=$AU$10,VLOOKUP($N$120,MTSP2018!$A$3:$AR$257,E$100+21,FALSE),0)</f>
        <v>0</v>
      </c>
      <c r="Z120" s="226">
        <f>IF($B$18=$AU$10,VLOOKUP($N$120,MTSP2018!$A$3:$AR$257,F$100+21,FALSE),0)</f>
        <v>0</v>
      </c>
      <c r="AA120" s="226">
        <f>IF($B$18=$AU$10,VLOOKUP($N$120,MTSP2018!$A$3:$AR$257,G$100+21,FALSE),0)</f>
        <v>0</v>
      </c>
      <c r="AB120" s="226">
        <f>IF($B$18=$AU$10,VLOOKUP($N$120,MTSP2018!$A$3:$AR$257,H$100+21,FALSE),0)</f>
        <v>0</v>
      </c>
      <c r="AC120" s="226">
        <f>IF($B$18=$AU$10,VLOOKUP($N$120,MTSP2018!$A$3:$AR$257,I$100+21,FALSE),0)</f>
        <v>0</v>
      </c>
      <c r="AD120" s="226">
        <f>IF($B$18=$AU$10,VLOOKUP($N$120,MTSP2018!$A$3:$AR$257,J$100+21,FALSE),0)</f>
        <v>0</v>
      </c>
      <c r="AE120" s="226">
        <f>IF($B$18=$AU$10,VLOOKUP($N$120,MTSP2018!$A$3:$AR$257,K$100+21,FALSE),0)</f>
        <v>0</v>
      </c>
      <c r="AF120" s="226">
        <f>IF($B$18=$AU$10,VLOOKUP($N$120,MTSP2018!$A$3:$AR$257,L$100+21,FALSE),0)</f>
        <v>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50" t="s">
        <v>1415</v>
      </c>
      <c r="Q122" s="350"/>
      <c r="R122" s="350"/>
      <c r="S122" s="350"/>
      <c r="T122" s="350"/>
      <c r="U122" s="350"/>
      <c r="V122" s="350"/>
      <c r="W122" s="350"/>
      <c r="Y122" s="365" t="s">
        <v>1416</v>
      </c>
      <c r="Z122" s="365"/>
      <c r="AA122" s="365"/>
      <c r="AB122" s="365"/>
      <c r="AC122" s="365"/>
      <c r="AD122" s="365"/>
      <c r="AE122" s="365"/>
      <c r="AF122" s="365"/>
      <c r="AI122" s="349" t="s">
        <v>1417</v>
      </c>
      <c r="AJ122" s="349"/>
      <c r="AK122" s="349"/>
      <c r="AL122" s="349"/>
      <c r="AM122" s="349"/>
      <c r="AN122" s="349"/>
      <c r="AO122" s="349"/>
      <c r="AP122" s="349"/>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28320</v>
      </c>
      <c r="F123" s="112">
        <f t="shared" si="141"/>
        <v>32400</v>
      </c>
      <c r="G123" s="112">
        <f t="shared" si="141"/>
        <v>36420</v>
      </c>
      <c r="H123" s="112">
        <f t="shared" si="141"/>
        <v>40440</v>
      </c>
      <c r="I123" s="112">
        <f t="shared" si="141"/>
        <v>43680</v>
      </c>
      <c r="J123" s="112">
        <f t="shared" si="141"/>
        <v>46920</v>
      </c>
      <c r="K123" s="112">
        <f t="shared" si="141"/>
        <v>50160</v>
      </c>
      <c r="L123" s="112">
        <f t="shared" si="141"/>
        <v>53400</v>
      </c>
      <c r="N123" s="104" t="str">
        <f>CONCATENATE($AU$10,$B$11,$N$122)</f>
        <v>Before 12-31-2008Tarrant60</v>
      </c>
      <c r="P123" s="221">
        <f>VLOOKUP($N123,'pre 12-31-08'!$A$4:$L$1400,E$122+3,FALSE)</f>
        <v>28320</v>
      </c>
      <c r="Q123" s="221">
        <f>VLOOKUP($N123,'pre 12-31-08'!$A$4:$L$1400,F$122+3,FALSE)</f>
        <v>32400</v>
      </c>
      <c r="R123" s="221">
        <f>VLOOKUP($N123,'pre 12-31-08'!$A$4:$L$1400,G$122+3,FALSE)</f>
        <v>36420</v>
      </c>
      <c r="S123" s="221">
        <f>VLOOKUP($N123,'pre 12-31-08'!$A$4:$L$1400,H$122+3,FALSE)</f>
        <v>40440</v>
      </c>
      <c r="T123" s="221">
        <f>VLOOKUP($N123,'pre 12-31-08'!$A$4:$L$1400,I$122+3,FALSE)</f>
        <v>43680</v>
      </c>
      <c r="U123" s="221">
        <f>VLOOKUP($N123,'pre 12-31-08'!$A$4:$L$1400,J$122+3,FALSE)</f>
        <v>46920</v>
      </c>
      <c r="V123" s="221">
        <f>VLOOKUP($N123,'pre 12-31-08'!$A$4:$L$1400,K$122+3,FALSE)</f>
        <v>50160</v>
      </c>
      <c r="W123" s="221">
        <f>VLOOKUP($N123,'pre 12-31-08'!$A$4:$L$1400,L$122+3,FALSE)</f>
        <v>53400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28320</v>
      </c>
      <c r="F124" s="112">
        <f t="shared" si="141"/>
        <v>32400</v>
      </c>
      <c r="G124" s="112">
        <f t="shared" si="141"/>
        <v>36420</v>
      </c>
      <c r="H124" s="112">
        <f t="shared" si="141"/>
        <v>40440</v>
      </c>
      <c r="I124" s="112">
        <f t="shared" si="141"/>
        <v>43680</v>
      </c>
      <c r="J124" s="112">
        <f t="shared" si="141"/>
        <v>46920</v>
      </c>
      <c r="K124" s="112">
        <f t="shared" si="141"/>
        <v>50160</v>
      </c>
      <c r="L124" s="112">
        <f t="shared" si="141"/>
        <v>53400</v>
      </c>
      <c r="N124" s="104" t="str">
        <f>CONCATENATE($AU$11,$B$11,$N$122)</f>
        <v>1/1/2009 - 5/13/2010Tarrant60</v>
      </c>
      <c r="P124" s="221">
        <f>VLOOKUP($N124,'1-1-09-5-14-10'!$A$4:$L$1400,E$122+3,FALSE)</f>
        <v>28320</v>
      </c>
      <c r="Q124" s="221">
        <f>VLOOKUP($N124,'1-1-09-5-14-10'!$A$4:$L$1400,F$122+3,FALSE)</f>
        <v>32400</v>
      </c>
      <c r="R124" s="221">
        <f>VLOOKUP($N124,'1-1-09-5-14-10'!$A$4:$L$1400,G$122+3,FALSE)</f>
        <v>36420</v>
      </c>
      <c r="S124" s="221">
        <f>VLOOKUP($N124,'1-1-09-5-14-10'!$A$4:$L$1400,H$122+3,FALSE)</f>
        <v>40440</v>
      </c>
      <c r="T124" s="221">
        <f>VLOOKUP($N124,'1-1-09-5-14-10'!$A$4:$L$1400,I$122+3,FALSE)</f>
        <v>43680</v>
      </c>
      <c r="U124" s="221">
        <f>VLOOKUP($N124,'1-1-09-5-14-10'!$A$4:$L$1400,J$122+3,FALSE)</f>
        <v>46920</v>
      </c>
      <c r="V124" s="221">
        <f>VLOOKUP($N124,'1-1-09-5-14-10'!$A$4:$L$1400,K$122+3,FALSE)</f>
        <v>50160</v>
      </c>
      <c r="W124" s="221">
        <f>VLOOKUP($N124,'1-1-09-5-14-10'!$A$4:$L$1400,L$122+3,FALSE)</f>
        <v>53400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28320</v>
      </c>
      <c r="F125" s="190">
        <f t="shared" si="144"/>
        <v>32400</v>
      </c>
      <c r="G125" s="190">
        <f t="shared" si="144"/>
        <v>36420</v>
      </c>
      <c r="H125" s="190">
        <f t="shared" si="144"/>
        <v>40440</v>
      </c>
      <c r="I125" s="190">
        <f t="shared" si="144"/>
        <v>43680</v>
      </c>
      <c r="J125" s="190">
        <f t="shared" si="144"/>
        <v>46920</v>
      </c>
      <c r="K125" s="190">
        <f t="shared" si="144"/>
        <v>50160</v>
      </c>
      <c r="L125" s="190">
        <f t="shared" si="144"/>
        <v>53400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28320</v>
      </c>
      <c r="F126" s="112">
        <f t="shared" si="141"/>
        <v>32400</v>
      </c>
      <c r="G126" s="112">
        <f t="shared" si="141"/>
        <v>36420</v>
      </c>
      <c r="H126" s="112">
        <f t="shared" si="141"/>
        <v>40440</v>
      </c>
      <c r="I126" s="112">
        <f t="shared" si="141"/>
        <v>43680</v>
      </c>
      <c r="J126" s="112">
        <f t="shared" si="141"/>
        <v>46920</v>
      </c>
      <c r="K126" s="112">
        <f t="shared" si="141"/>
        <v>50160</v>
      </c>
      <c r="L126" s="112">
        <f t="shared" si="141"/>
        <v>53400</v>
      </c>
      <c r="N126" s="104" t="str">
        <f>CONCATENATE($AU$13,$B$11,$N$122)</f>
        <v>6/29/2010 - 5/30/2011Tarrant60</v>
      </c>
      <c r="P126" s="221">
        <f>VLOOKUP($N126,'5-14-10-5-31-11'!$A$4:$L$1400,E$122+3,FALSE)</f>
        <v>28320</v>
      </c>
      <c r="Q126" s="221">
        <f>VLOOKUP($N126,'5-14-10-5-31-11'!$A$4:$L$1400,F$122+3,FALSE)</f>
        <v>32400</v>
      </c>
      <c r="R126" s="221">
        <f>VLOOKUP($N126,'5-14-10-5-31-11'!$A$4:$L$1400,G$122+3,FALSE)</f>
        <v>36420</v>
      </c>
      <c r="S126" s="221">
        <f>VLOOKUP($N126,'5-14-10-5-31-11'!$A$4:$L$1400,H$122+3,FALSE)</f>
        <v>40440</v>
      </c>
      <c r="T126" s="221">
        <f>VLOOKUP($N126,'5-14-10-5-31-11'!$A$4:$L$1400,I$122+3,FALSE)</f>
        <v>43680</v>
      </c>
      <c r="U126" s="221">
        <f>VLOOKUP($N126,'5-14-10-5-31-11'!$A$4:$L$1400,J$122+3,FALSE)</f>
        <v>46920</v>
      </c>
      <c r="V126" s="221">
        <f>VLOOKUP($N126,'5-14-10-5-31-11'!$A$4:$L$1400,K$122+3,FALSE)</f>
        <v>50160</v>
      </c>
      <c r="W126" s="221">
        <f>VLOOKUP($N126,'5-14-10-5-31-11'!$A$4:$L$1400,L$122+3,FALSE)</f>
        <v>53400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28740</v>
      </c>
      <c r="F127" s="190">
        <f t="shared" si="147"/>
        <v>32820</v>
      </c>
      <c r="G127" s="190">
        <f t="shared" si="147"/>
        <v>36900</v>
      </c>
      <c r="H127" s="190">
        <f t="shared" si="147"/>
        <v>40980</v>
      </c>
      <c r="I127" s="190">
        <f t="shared" si="147"/>
        <v>44280</v>
      </c>
      <c r="J127" s="190">
        <f t="shared" si="147"/>
        <v>47580</v>
      </c>
      <c r="K127" s="190">
        <f t="shared" si="147"/>
        <v>50820</v>
      </c>
      <c r="L127" s="190">
        <f t="shared" si="147"/>
        <v>54120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28740</v>
      </c>
      <c r="F128" s="112">
        <f t="shared" si="141"/>
        <v>32820</v>
      </c>
      <c r="G128" s="112">
        <f t="shared" si="141"/>
        <v>36900</v>
      </c>
      <c r="H128" s="112">
        <f t="shared" si="141"/>
        <v>40980</v>
      </c>
      <c r="I128" s="112">
        <f t="shared" si="141"/>
        <v>44280</v>
      </c>
      <c r="J128" s="112">
        <f t="shared" si="141"/>
        <v>47580</v>
      </c>
      <c r="K128" s="112">
        <f t="shared" si="141"/>
        <v>50820</v>
      </c>
      <c r="L128" s="112">
        <f t="shared" si="141"/>
        <v>54120</v>
      </c>
      <c r="N128" s="104" t="str">
        <f>CONCATENATE(AU15,$B$11)</f>
        <v>7/16/2011 - 11/31/2011Tarrant</v>
      </c>
      <c r="P128" s="221">
        <f>VLOOKUP($N128,'6-1-11'!$A$4:$T$257,E$122+12,FALSE)</f>
        <v>28740</v>
      </c>
      <c r="Q128" s="221">
        <f>VLOOKUP($N128,'6-1-11'!$A$4:$T$257,F$122+12,FALSE)</f>
        <v>32820</v>
      </c>
      <c r="R128" s="221">
        <f>VLOOKUP($N128,'6-1-11'!$A$4:$T$257,G$122+12,FALSE)</f>
        <v>36900</v>
      </c>
      <c r="S128" s="221">
        <f>VLOOKUP($N128,'6-1-11'!$A$4:$T$257,H$122+12,FALSE)</f>
        <v>40980</v>
      </c>
      <c r="T128" s="221">
        <f>VLOOKUP($N128,'6-1-11'!$A$4:$T$257,I$122+12,FALSE)</f>
        <v>44280</v>
      </c>
      <c r="U128" s="221">
        <f>VLOOKUP($N128,'6-1-11'!$A$4:$T$257,J$122+12,FALSE)</f>
        <v>47580</v>
      </c>
      <c r="V128" s="221">
        <f>VLOOKUP($N128,'6-1-11'!$A$4:$T$257,K$122+12,FALSE)</f>
        <v>50820</v>
      </c>
      <c r="W128" s="221">
        <f>VLOOKUP($N128,'6-1-11'!$A$4:$T$257,L$122+12,FALSE)</f>
        <v>54120</v>
      </c>
      <c r="Y128" s="221">
        <f>IF($B$18=$AU$10,VLOOKUP($N128,'6-1-11'!$A$4:$AK$257,E$122+29,FALSE),0)</f>
        <v>0</v>
      </c>
      <c r="Z128" s="221">
        <f>IF($B$18=$AU$10,VLOOKUP($N128,'6-1-11'!$A$4:$AK$257,F$122+29,FALSE),0)</f>
        <v>0</v>
      </c>
      <c r="AA128" s="221">
        <f>IF($B$18=$AU$10,VLOOKUP($N128,'6-1-11'!$A$4:$AK$257,G$122+29,FALSE),0)</f>
        <v>0</v>
      </c>
      <c r="AB128" s="221">
        <f>IF($B$18=$AU$10,VLOOKUP($N128,'6-1-11'!$A$4:$AK$257,H$122+29,FALSE),0)</f>
        <v>0</v>
      </c>
      <c r="AC128" s="221">
        <f>IF($B$18=$AU$10,VLOOKUP($N128,'6-1-11'!$A$4:$AK$257,I$122+29,FALSE),0)</f>
        <v>0</v>
      </c>
      <c r="AD128" s="221">
        <f>IF($B$18=$AU$10,VLOOKUP($N128,'6-1-11'!$A$4:$AK$257,J$122+29,FALSE),0)</f>
        <v>0</v>
      </c>
      <c r="AE128" s="221">
        <f>IF($B$18=$AU$10,VLOOKUP($N128,'6-1-11'!$A$4:$AK$257,K$122+29,FALSE),0)</f>
        <v>0</v>
      </c>
      <c r="AF128" s="221">
        <f>IF($B$18=$AU$10,VLOOKUP($N128,'6-1-11'!$A$4:$AK$257,L$122+29,FALSE),0)</f>
        <v>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29100</v>
      </c>
      <c r="F129" s="190">
        <f t="shared" si="149"/>
        <v>33240</v>
      </c>
      <c r="G129" s="190">
        <f t="shared" si="149"/>
        <v>37380</v>
      </c>
      <c r="H129" s="190">
        <f t="shared" si="149"/>
        <v>41520</v>
      </c>
      <c r="I129" s="190">
        <f t="shared" si="149"/>
        <v>44880</v>
      </c>
      <c r="J129" s="190">
        <f t="shared" si="149"/>
        <v>48180</v>
      </c>
      <c r="K129" s="190">
        <f t="shared" si="149"/>
        <v>51540</v>
      </c>
      <c r="L129" s="190">
        <f t="shared" si="149"/>
        <v>54840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29100</v>
      </c>
      <c r="F130" s="112">
        <f t="shared" si="141"/>
        <v>33240</v>
      </c>
      <c r="G130" s="112">
        <f t="shared" si="141"/>
        <v>37380</v>
      </c>
      <c r="H130" s="112">
        <f t="shared" si="141"/>
        <v>41520</v>
      </c>
      <c r="I130" s="112">
        <f t="shared" si="141"/>
        <v>44880</v>
      </c>
      <c r="J130" s="112">
        <f t="shared" si="141"/>
        <v>48180</v>
      </c>
      <c r="K130" s="112">
        <f t="shared" si="141"/>
        <v>51540</v>
      </c>
      <c r="L130" s="112">
        <f t="shared" si="141"/>
        <v>54840</v>
      </c>
      <c r="N130" s="104" t="str">
        <f>CONCATENATE(AU17,$B$11)</f>
        <v>1/16/2012 - 12/3/2012Tarrant</v>
      </c>
      <c r="P130" s="221">
        <f>VLOOKUP($N130,'12-1-11'!$A$4:$T$257,E$122+12,FALSE)</f>
        <v>29100</v>
      </c>
      <c r="Q130" s="221">
        <f>VLOOKUP($N130,'12-1-11'!$A$4:$T$257,F$122+12,FALSE)</f>
        <v>33240</v>
      </c>
      <c r="R130" s="221">
        <f>VLOOKUP($N130,'12-1-11'!$A$4:$T$257,G$122+12,FALSE)</f>
        <v>37380</v>
      </c>
      <c r="S130" s="221">
        <f>VLOOKUP($N130,'12-1-11'!$A$4:$T$257,H$122+12,FALSE)</f>
        <v>41520</v>
      </c>
      <c r="T130" s="221">
        <f>VLOOKUP($N130,'12-1-11'!$A$4:$T$257,I$122+12,FALSE)</f>
        <v>44880</v>
      </c>
      <c r="U130" s="221">
        <f>VLOOKUP($N130,'12-1-11'!$A$4:$T$257,J$122+12,FALSE)</f>
        <v>48180</v>
      </c>
      <c r="V130" s="221">
        <f>VLOOKUP($N130,'12-1-11'!$A$4:$T$257,K$122+12,FALSE)</f>
        <v>51540</v>
      </c>
      <c r="W130" s="221">
        <f>VLOOKUP($N130,'12-1-11'!$A$4:$T$257,L$122+12,FALSE)</f>
        <v>54840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29100</v>
      </c>
      <c r="F131" s="190">
        <f t="shared" si="151"/>
        <v>33240</v>
      </c>
      <c r="G131" s="190">
        <f t="shared" si="151"/>
        <v>37380</v>
      </c>
      <c r="H131" s="190">
        <f t="shared" si="151"/>
        <v>41520</v>
      </c>
      <c r="I131" s="190">
        <f t="shared" si="151"/>
        <v>44880</v>
      </c>
      <c r="J131" s="190">
        <f t="shared" si="151"/>
        <v>48180</v>
      </c>
      <c r="K131" s="190">
        <f t="shared" si="151"/>
        <v>51540</v>
      </c>
      <c r="L131" s="190">
        <f t="shared" si="151"/>
        <v>54840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29100</v>
      </c>
      <c r="F132" s="112">
        <f t="shared" si="141"/>
        <v>33240</v>
      </c>
      <c r="G132" s="112">
        <f t="shared" si="141"/>
        <v>37380</v>
      </c>
      <c r="H132" s="112">
        <f t="shared" si="141"/>
        <v>41520</v>
      </c>
      <c r="I132" s="112">
        <f t="shared" si="141"/>
        <v>44880</v>
      </c>
      <c r="J132" s="112">
        <f t="shared" si="141"/>
        <v>48180</v>
      </c>
      <c r="K132" s="112">
        <f t="shared" si="141"/>
        <v>51540</v>
      </c>
      <c r="L132" s="112">
        <f t="shared" si="141"/>
        <v>54840</v>
      </c>
      <c r="N132" s="104" t="str">
        <f>CONCATENATE(AU19,$B$11)</f>
        <v>1/18/2013 - 12/17/2013Tarrant</v>
      </c>
      <c r="P132" s="221">
        <f>VLOOKUP($N132,'2013 placeholder'!$A$4:$T$257,E$122+12,FALSE)</f>
        <v>27660</v>
      </c>
      <c r="Q132" s="221">
        <f>VLOOKUP($N132,'2013 placeholder'!$A$4:$T$257,F$122+12,FALSE)</f>
        <v>31620</v>
      </c>
      <c r="R132" s="221">
        <f>VLOOKUP($N132,'2013 placeholder'!$A$4:$T$257,G$122+12,FALSE)</f>
        <v>35580</v>
      </c>
      <c r="S132" s="221">
        <f>VLOOKUP($N132,'2013 placeholder'!$A$4:$T$257,H$122+12,FALSE)</f>
        <v>39480</v>
      </c>
      <c r="T132" s="221">
        <f>VLOOKUP($N132,'2013 placeholder'!$A$4:$T$257,I$122+12,FALSE)</f>
        <v>42660</v>
      </c>
      <c r="U132" s="221">
        <f>VLOOKUP($N132,'2013 placeholder'!$A$4:$T$257,J$122+12,FALSE)</f>
        <v>45840</v>
      </c>
      <c r="V132" s="221">
        <f>VLOOKUP($N132,'2013 placeholder'!$A$4:$T$257,K$122+12,FALSE)</f>
        <v>48960</v>
      </c>
      <c r="W132" s="221">
        <f>VLOOKUP($N132,'2013 placeholder'!$A$4:$T$257,L$122+12,FALSE)</f>
        <v>52140</v>
      </c>
      <c r="Y132" s="221">
        <f>IF($B$18=$AU$10,VLOOKUP($N132,'2013 placeholder'!$A$4:$AK$257,E$122+29,FALSE),0)</f>
        <v>29100</v>
      </c>
      <c r="Z132" s="221">
        <f>IF($B$18=$AU$10,VLOOKUP($N132,'2013 placeholder'!$A$4:$AK$257,F$122+29,FALSE),0)</f>
        <v>33240</v>
      </c>
      <c r="AA132" s="221">
        <f>IF($B$18=$AU$10,VLOOKUP($N132,'2013 placeholder'!$A$4:$AK$257,G$122+29,FALSE),0)</f>
        <v>37380</v>
      </c>
      <c r="AB132" s="221">
        <f>IF($B$18=$AU$10,VLOOKUP($N132,'2013 placeholder'!$A$4:$AK$257,H$122+29,FALSE),0)</f>
        <v>41520</v>
      </c>
      <c r="AC132" s="221">
        <f>IF($B$18=$AU$10,VLOOKUP($N132,'2013 placeholder'!$A$4:$AK$257,I$122+29,FALSE),0)</f>
        <v>44880</v>
      </c>
      <c r="AD132" s="221">
        <f>IF($B$18=$AU$10,VLOOKUP($N132,'2013 placeholder'!$A$4:$AK$257,J$122+29,FALSE),0)</f>
        <v>48180</v>
      </c>
      <c r="AE132" s="221">
        <f>IF($B$18=$AU$10,VLOOKUP($N132,'2013 placeholder'!$A$4:$AK$257,K$122+29,FALSE),0)</f>
        <v>51540</v>
      </c>
      <c r="AF132" s="221">
        <f>IF($B$18=$AU$10,VLOOKUP($N132,'2013 placeholder'!$A$4:$AK$257,L$122+29,FALSE),0)</f>
        <v>54840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29100</v>
      </c>
      <c r="F133" s="190">
        <f t="shared" si="154"/>
        <v>33240</v>
      </c>
      <c r="G133" s="190">
        <f t="shared" si="154"/>
        <v>37380</v>
      </c>
      <c r="H133" s="190">
        <f t="shared" si="154"/>
        <v>41520</v>
      </c>
      <c r="I133" s="190">
        <f t="shared" si="154"/>
        <v>44880</v>
      </c>
      <c r="J133" s="190">
        <f t="shared" si="154"/>
        <v>48180</v>
      </c>
      <c r="K133" s="190">
        <f t="shared" si="154"/>
        <v>51540</v>
      </c>
      <c r="L133" s="190">
        <f t="shared" si="154"/>
        <v>54840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29100</v>
      </c>
      <c r="F134" s="112">
        <f t="shared" si="155"/>
        <v>33240</v>
      </c>
      <c r="G134" s="112">
        <f t="shared" si="155"/>
        <v>37380</v>
      </c>
      <c r="H134" s="112">
        <f t="shared" si="155"/>
        <v>41520</v>
      </c>
      <c r="I134" s="112">
        <f t="shared" si="155"/>
        <v>44880</v>
      </c>
      <c r="J134" s="112">
        <f t="shared" si="155"/>
        <v>48180</v>
      </c>
      <c r="K134" s="112">
        <f t="shared" si="155"/>
        <v>51540</v>
      </c>
      <c r="L134" s="112">
        <f t="shared" si="155"/>
        <v>54840</v>
      </c>
      <c r="N134" s="108" t="str">
        <f>CONCATENATE(AU21,$B$11)</f>
        <v>2/1/2014 - 3/5/2015Tarrant</v>
      </c>
      <c r="P134" s="226">
        <f>VLOOKUP($N134,'2014 placeholder'!$A$4:$T$257,E$122+12,FALSE)</f>
        <v>27660</v>
      </c>
      <c r="Q134" s="226">
        <f>VLOOKUP($N134,'2014 placeholder'!$A$4:$T$257,F$122+12,FALSE)</f>
        <v>31620</v>
      </c>
      <c r="R134" s="226">
        <f>VLOOKUP($N134,'2014 placeholder'!$A$4:$T$257,G$122+12,FALSE)</f>
        <v>35580</v>
      </c>
      <c r="S134" s="226">
        <f>VLOOKUP($N134,'2014 placeholder'!$A$4:$T$257,H$122+12,FALSE)</f>
        <v>39480</v>
      </c>
      <c r="T134" s="226">
        <f>VLOOKUP($N134,'2014 placeholder'!$A$4:$T$257,I$122+12,FALSE)</f>
        <v>42660</v>
      </c>
      <c r="U134" s="226">
        <f>VLOOKUP($N134,'2014 placeholder'!$A$4:$T$257,J$122+12,FALSE)</f>
        <v>45840</v>
      </c>
      <c r="V134" s="226">
        <f>VLOOKUP($N134,'2014 placeholder'!$A$4:$T$257,K$122+12,FALSE)</f>
        <v>48960</v>
      </c>
      <c r="W134" s="226">
        <f>VLOOKUP($N134,'2014 placeholder'!$A$4:$T$257,L$122+12,FALSE)</f>
        <v>52140</v>
      </c>
      <c r="Y134" s="226">
        <f>IF($B$18=$AU$10,VLOOKUP($N134,'2014 placeholder'!$A$4:$AK$257,E$122+29,FALSE),0)</f>
        <v>29100</v>
      </c>
      <c r="Z134" s="226">
        <f>IF($B$18=$AU$10,VLOOKUP($N134,'2014 placeholder'!$A$4:$AK$257,F$122+29,FALSE),0)</f>
        <v>33240</v>
      </c>
      <c r="AA134" s="226">
        <f>IF($B$18=$AU$10,VLOOKUP($N134,'2014 placeholder'!$A$4:$AK$257,G$122+29,FALSE),0)</f>
        <v>37380</v>
      </c>
      <c r="AB134" s="226">
        <f>IF($B$18=$AU$10,VLOOKUP($N134,'2014 placeholder'!$A$4:$AK$257,H$122+29,FALSE),0)</f>
        <v>41520</v>
      </c>
      <c r="AC134" s="226">
        <f>IF($B$18=$AU$10,VLOOKUP($N134,'2014 placeholder'!$A$4:$AK$257,I$122+29,FALSE),0)</f>
        <v>44880</v>
      </c>
      <c r="AD134" s="226">
        <f>IF($B$18=$AU$10,VLOOKUP($N134,'2014 placeholder'!$A$4:$AK$257,J$122+29,FALSE),0)</f>
        <v>48180</v>
      </c>
      <c r="AE134" s="226">
        <f>IF($B$18=$AU$10,VLOOKUP($N134,'2014 placeholder'!$A$4:$AK$257,K$122+29,FALSE),0)</f>
        <v>51540</v>
      </c>
      <c r="AF134" s="226">
        <f>IF($B$18=$AU$10,VLOOKUP($N134,'2014 placeholder'!$A$4:$AK$257,L$122+29,FALSE),0)</f>
        <v>54840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29640</v>
      </c>
      <c r="F135" s="190">
        <f t="shared" ref="F135:L135" si="157">+MAX(F134,F136)</f>
        <v>33840</v>
      </c>
      <c r="G135" s="190">
        <f t="shared" si="157"/>
        <v>38100</v>
      </c>
      <c r="H135" s="190">
        <f t="shared" si="157"/>
        <v>42300</v>
      </c>
      <c r="I135" s="190">
        <f t="shared" si="157"/>
        <v>45720</v>
      </c>
      <c r="J135" s="190">
        <f t="shared" si="157"/>
        <v>49080</v>
      </c>
      <c r="K135" s="190">
        <f t="shared" si="157"/>
        <v>52500</v>
      </c>
      <c r="L135" s="190">
        <f t="shared" si="157"/>
        <v>55860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29640</v>
      </c>
      <c r="F136" s="239">
        <f t="shared" si="158"/>
        <v>33840</v>
      </c>
      <c r="G136" s="239">
        <f t="shared" si="158"/>
        <v>38100</v>
      </c>
      <c r="H136" s="239">
        <f t="shared" si="158"/>
        <v>42300</v>
      </c>
      <c r="I136" s="239">
        <f t="shared" si="158"/>
        <v>45720</v>
      </c>
      <c r="J136" s="239">
        <f t="shared" si="158"/>
        <v>49080</v>
      </c>
      <c r="K136" s="239">
        <f t="shared" si="158"/>
        <v>52500</v>
      </c>
      <c r="L136" s="239">
        <f t="shared" si="158"/>
        <v>55860</v>
      </c>
      <c r="N136" s="108" t="str">
        <f>CONCATENATE(AU23,$B$11)</f>
        <v>4/21/2015 - 3/27/2016Tarrant</v>
      </c>
      <c r="P136" s="226">
        <f>VLOOKUP($N136,'2015 MTSP Limits'!$A$4:$T$257,E$122+12,FALSE)</f>
        <v>29280</v>
      </c>
      <c r="Q136" s="226">
        <f>VLOOKUP($N136,'2015 MTSP Limits'!$A$4:$T$257,F$122+12,FALSE)</f>
        <v>33480</v>
      </c>
      <c r="R136" s="226">
        <f>VLOOKUP($N136,'2015 MTSP Limits'!$A$4:$T$257,G$122+12,FALSE)</f>
        <v>37680</v>
      </c>
      <c r="S136" s="226">
        <f>VLOOKUP($N136,'2015 MTSP Limits'!$A$4:$T$257,H$122+12,FALSE)</f>
        <v>41820</v>
      </c>
      <c r="T136" s="226">
        <f>VLOOKUP($N136,'2015 MTSP Limits'!$A$4:$T$257,I$122+12,FALSE)</f>
        <v>45180</v>
      </c>
      <c r="U136" s="226">
        <f>VLOOKUP($N136,'2015 MTSP Limits'!$A$4:$T$257,J$122+12,FALSE)</f>
        <v>48540</v>
      </c>
      <c r="V136" s="226">
        <f>VLOOKUP($N136,'2015 MTSP Limits'!$A$4:$T$257,K$122+12,FALSE)</f>
        <v>51900</v>
      </c>
      <c r="W136" s="226">
        <f>VLOOKUP($N136,'2015 MTSP Limits'!$A$4:$T$257,L$122+12,FALSE)</f>
        <v>55260</v>
      </c>
      <c r="Y136" s="226">
        <f>IF($B$18=$AU$10,VLOOKUP($N136,'2015 MTSP Limits'!$A$4:$AK$257,E$100+29,FALSE),0)</f>
        <v>29640</v>
      </c>
      <c r="Z136" s="226">
        <f>IF($B$18=$AU$10,VLOOKUP($N136,'2015 MTSP Limits'!$A$4:$AK$257,F$100+29,FALSE),0)</f>
        <v>33840</v>
      </c>
      <c r="AA136" s="226">
        <f>IF($B$18=$AU$10,VLOOKUP($N136,'2015 MTSP Limits'!$A$4:$AK$257,G$100+29,FALSE),0)</f>
        <v>38100</v>
      </c>
      <c r="AB136" s="226">
        <f>IF($B$18=$AU$10,VLOOKUP($N136,'2015 MTSP Limits'!$A$4:$AK$257,H$100+29,FALSE),0)</f>
        <v>42300</v>
      </c>
      <c r="AC136" s="226">
        <f>IF($B$18=$AU$10,VLOOKUP($N136,'2015 MTSP Limits'!$A$4:$AK$257,I$100+29,FALSE),0)</f>
        <v>45720</v>
      </c>
      <c r="AD136" s="226">
        <f>IF($B$18=$AU$10,VLOOKUP($N136,'2015 MTSP Limits'!$A$4:$AK$257,J$100+29,FALSE),0)</f>
        <v>49080</v>
      </c>
      <c r="AE136" s="226">
        <f>IF($B$18=$AU$10,VLOOKUP($N136,'2015 MTSP Limits'!$A$4:$AK$257,K$100+29,FALSE),0)</f>
        <v>52500</v>
      </c>
      <c r="AF136" s="226">
        <f>IF($B$18=$AU$10,VLOOKUP($N136,'2015 MTSP Limits'!$A$4:$AK$257,L$100+29,FALSE),0)</f>
        <v>55860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29640</v>
      </c>
      <c r="F137" s="190">
        <f t="shared" ref="F137:L137" si="159">+MAX(F136,F138)</f>
        <v>33840</v>
      </c>
      <c r="G137" s="190">
        <f t="shared" si="159"/>
        <v>38100</v>
      </c>
      <c r="H137" s="190">
        <f t="shared" si="159"/>
        <v>42300</v>
      </c>
      <c r="I137" s="190">
        <f t="shared" si="159"/>
        <v>45720</v>
      </c>
      <c r="J137" s="190">
        <f t="shared" si="159"/>
        <v>49080</v>
      </c>
      <c r="K137" s="190">
        <f t="shared" si="159"/>
        <v>52500</v>
      </c>
      <c r="L137" s="190">
        <f t="shared" si="159"/>
        <v>55860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29640</v>
      </c>
      <c r="F138" s="239">
        <f t="shared" si="160"/>
        <v>33840</v>
      </c>
      <c r="G138" s="239">
        <f t="shared" si="160"/>
        <v>38100</v>
      </c>
      <c r="H138" s="239">
        <f t="shared" si="160"/>
        <v>42300</v>
      </c>
      <c r="I138" s="239">
        <f t="shared" si="160"/>
        <v>45720</v>
      </c>
      <c r="J138" s="239">
        <f t="shared" si="160"/>
        <v>49080</v>
      </c>
      <c r="K138" s="239">
        <f t="shared" si="160"/>
        <v>52500</v>
      </c>
      <c r="L138" s="239">
        <f t="shared" si="160"/>
        <v>55860</v>
      </c>
      <c r="N138" s="108" t="str">
        <f>CONCATENATE(AU25,$B$11)</f>
        <v>5/13/2016 - 4/13/2017Tarrant</v>
      </c>
      <c r="P138" s="226">
        <f>VLOOKUP($N138,MTSP2016!$A$4:$T$257,E$122+12,FALSE)</f>
        <v>29160</v>
      </c>
      <c r="Q138" s="226">
        <f>VLOOKUP($N138,MTSP2016!$A$4:$T$257,F$122+12,FALSE)</f>
        <v>33360</v>
      </c>
      <c r="R138" s="226">
        <f>VLOOKUP($N138,MTSP2016!$A$4:$T$257,G$122+12,FALSE)</f>
        <v>37500</v>
      </c>
      <c r="S138" s="226">
        <f>VLOOKUP($N138,MTSP2016!$A$4:$T$257,H$122+12,FALSE)</f>
        <v>41640</v>
      </c>
      <c r="T138" s="226">
        <f>VLOOKUP($N138,MTSP2016!$A$4:$T$257,I$122+12,FALSE)</f>
        <v>45000</v>
      </c>
      <c r="U138" s="226">
        <f>VLOOKUP($N138,MTSP2016!$A$4:$T$257,J$122+12,FALSE)</f>
        <v>48360</v>
      </c>
      <c r="V138" s="226">
        <f>VLOOKUP($N138,MTSP2016!$A$4:$T$257,K$122+12,FALSE)</f>
        <v>51660</v>
      </c>
      <c r="W138" s="226">
        <f>VLOOKUP($N138,MTSP2016!$A$4:$T$257,L$122+12,FALSE)</f>
        <v>55020</v>
      </c>
      <c r="X138" s="241"/>
      <c r="Y138" s="226">
        <f>IF($B$18=$AU$10,VLOOKUP($N138,MTSP2016!$A$4:$AK$257,E$100+29,FALSE),0)</f>
        <v>29640</v>
      </c>
      <c r="Z138" s="226">
        <f>IF($B$18=$AU$10,VLOOKUP($N138,MTSP2016!$A$4:$AK$257,F$100+29,FALSE),0)</f>
        <v>33840</v>
      </c>
      <c r="AA138" s="226">
        <f>IF($B$18=$AU$10,VLOOKUP($N138,MTSP2016!$A$4:$AK$257,G$100+29,FALSE),0)</f>
        <v>38100</v>
      </c>
      <c r="AB138" s="226">
        <f>IF($B$18=$AU$10,VLOOKUP($N138,MTSP2016!$A$4:$AK$257,H$100+29,FALSE),0)</f>
        <v>42300</v>
      </c>
      <c r="AC138" s="226">
        <f>IF($B$18=$AU$10,VLOOKUP($N138,MTSP2016!$A$4:$AK$257,I$100+29,FALSE),0)</f>
        <v>45720</v>
      </c>
      <c r="AD138" s="226">
        <f>IF($B$18=$AU$10,VLOOKUP($N138,MTSP2016!$A$4:$AK$257,J$100+29,FALSE),0)</f>
        <v>49080</v>
      </c>
      <c r="AE138" s="226">
        <f>IF($B$18=$AU$10,VLOOKUP($N138,MTSP2016!$A$4:$AK$257,K$100+29,FALSE),0)</f>
        <v>52500</v>
      </c>
      <c r="AF138" s="226">
        <f>IF($B$18=$AU$10,VLOOKUP($N138,MTSP2016!$A$4:$AK$257,L$100+29,FALSE),0)</f>
        <v>55860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30000</v>
      </c>
      <c r="F139" s="224">
        <f t="shared" ref="F139:L141" si="162">+MAX(F138,F140)</f>
        <v>34320</v>
      </c>
      <c r="G139" s="224">
        <f t="shared" si="162"/>
        <v>38580</v>
      </c>
      <c r="H139" s="224">
        <f t="shared" si="162"/>
        <v>42840</v>
      </c>
      <c r="I139" s="224">
        <f t="shared" si="162"/>
        <v>46320</v>
      </c>
      <c r="J139" s="224">
        <f t="shared" si="162"/>
        <v>49740</v>
      </c>
      <c r="K139" s="224">
        <f t="shared" si="162"/>
        <v>53160</v>
      </c>
      <c r="L139" s="224">
        <f t="shared" si="162"/>
        <v>56580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30000</v>
      </c>
      <c r="F140" s="187">
        <f t="shared" ref="F140:L140" si="164">+MAX(Q140,Z140,AJ140)</f>
        <v>34320</v>
      </c>
      <c r="G140" s="187">
        <f t="shared" si="164"/>
        <v>38580</v>
      </c>
      <c r="H140" s="187">
        <f t="shared" si="164"/>
        <v>42840</v>
      </c>
      <c r="I140" s="187">
        <f t="shared" si="164"/>
        <v>46320</v>
      </c>
      <c r="J140" s="187">
        <f t="shared" si="164"/>
        <v>49740</v>
      </c>
      <c r="K140" s="187">
        <f t="shared" si="164"/>
        <v>53160</v>
      </c>
      <c r="L140" s="187">
        <f t="shared" si="164"/>
        <v>56580</v>
      </c>
      <c r="N140" s="269" t="str">
        <f>CONCATENATE(AU27,$B$11)</f>
        <v>5/30/2017 - 3/31/2018Tarrant</v>
      </c>
      <c r="P140" s="226">
        <f>VLOOKUP(N140,MTSP2017!A4:T257,E$122+12,FALSE)</f>
        <v>30000</v>
      </c>
      <c r="Q140" s="226">
        <f>VLOOKUP(N140,MTSP2017!A4:T257,F$122+12,FALSE)</f>
        <v>34320</v>
      </c>
      <c r="R140" s="226">
        <f>VLOOKUP(N140,MTSP2017!A4:T257,G$122+12,FALSE)</f>
        <v>38580</v>
      </c>
      <c r="S140" s="226">
        <f>VLOOKUP(N140,MTSP2017!A4:T257,H$122+12,FALSE)</f>
        <v>42840</v>
      </c>
      <c r="T140" s="226">
        <f>VLOOKUP(N140,MTSP2017!A4:T257,I$122+12,FALSE)</f>
        <v>46320</v>
      </c>
      <c r="U140" s="226">
        <f>VLOOKUP(N140,MTSP2017!A4:T257,J$122+12,FALSE)</f>
        <v>49740</v>
      </c>
      <c r="V140" s="226">
        <f>VLOOKUP(N140,MTSP2017!A4:T257,K$122+12,FALSE)</f>
        <v>53160</v>
      </c>
      <c r="W140" s="226">
        <f>VLOOKUP(N140,MTSP2017!A4:T257,L$122+12,FALSE)</f>
        <v>56580</v>
      </c>
      <c r="Y140" s="226">
        <f>IF($B$18=$AU$10,VLOOKUP($N140,MTSP2017!A4:AK257,E$100+29,FALSE),0)</f>
        <v>0</v>
      </c>
      <c r="Z140" s="226">
        <f>IF($B$18=$AU$10,VLOOKUP($N140,MTSP2017!A4:AK257,F$100+29,FALSE),0)</f>
        <v>0</v>
      </c>
      <c r="AA140" s="226">
        <f>IF($B$18=$AU$10,VLOOKUP($N140,MTSP2017!A4:AK257,G$100+29,FALSE),0)</f>
        <v>0</v>
      </c>
      <c r="AB140" s="226">
        <f>IF($B$18=$AU$10,VLOOKUP($N140,MTSP2017!A4:AK257,H$100+29,FALSE),0)</f>
        <v>0</v>
      </c>
      <c r="AC140" s="226">
        <f>IF($B$18=$AU$10,VLOOKUP($N140,MTSP2017!A4:AK257,I$100+29,FALSE),0)</f>
        <v>0</v>
      </c>
      <c r="AD140" s="226">
        <f>IF($B$18=$AU$10,VLOOKUP($N140,MTSP2017!A4:AK257,J$100+29,FALSE),0)</f>
        <v>0</v>
      </c>
      <c r="AE140" s="226">
        <f>IF($B$18=$AU$10,VLOOKUP($N140,MTSP2017!A4:AK257,K$100+29,FALSE),0)</f>
        <v>0</v>
      </c>
      <c r="AF140" s="226">
        <f>IF($B$18=$AU$10,VLOOKUP($N140,MTSP2017!A4:AK257,L$100+29,FALSE),0)</f>
        <v>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31620</v>
      </c>
      <c r="F141" s="224">
        <f t="shared" si="162"/>
        <v>36120</v>
      </c>
      <c r="G141" s="224">
        <f t="shared" si="162"/>
        <v>40620</v>
      </c>
      <c r="H141" s="224">
        <f t="shared" si="162"/>
        <v>45120</v>
      </c>
      <c r="I141" s="224">
        <f t="shared" si="162"/>
        <v>48780</v>
      </c>
      <c r="J141" s="224">
        <f t="shared" si="162"/>
        <v>52380</v>
      </c>
      <c r="K141" s="224">
        <f t="shared" si="162"/>
        <v>55980</v>
      </c>
      <c r="L141" s="224">
        <f t="shared" si="162"/>
        <v>59580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31620</v>
      </c>
      <c r="F142" s="187">
        <f t="shared" ref="F142" si="168">+MAX(Q142,Z142,AJ142)</f>
        <v>36120</v>
      </c>
      <c r="G142" s="187">
        <f t="shared" ref="G142" si="169">+MAX(R142,AA142,AK142)</f>
        <v>40620</v>
      </c>
      <c r="H142" s="187">
        <f t="shared" ref="H142" si="170">+MAX(S142,AB142,AL142)</f>
        <v>45120</v>
      </c>
      <c r="I142" s="187">
        <f t="shared" ref="I142" si="171">+MAX(T142,AC142,AM142)</f>
        <v>48780</v>
      </c>
      <c r="J142" s="187">
        <f t="shared" ref="J142" si="172">+MAX(U142,AD142,AN142)</f>
        <v>52380</v>
      </c>
      <c r="K142" s="187">
        <f t="shared" ref="K142" si="173">+MAX(V142,AE142,AO142)</f>
        <v>55980</v>
      </c>
      <c r="L142" s="187">
        <f t="shared" ref="L142" si="174">+MAX(W142,AF142,AP142)</f>
        <v>59580</v>
      </c>
      <c r="N142" s="269" t="str">
        <f>CONCATENATE(AU29,$B$11)</f>
        <v>On or After 5/17/2018Tarrant</v>
      </c>
      <c r="P142" s="226">
        <f>INDEX(MTSP2018!M3:M257,MATCH('Income-Rent Tool'!$N$142,MTSP2018!$A$3:$A$257,0))</f>
        <v>31620</v>
      </c>
      <c r="Q142" s="226">
        <f>INDEX(MTSP2018!N3:N257,MATCH('Income-Rent Tool'!$N$142,MTSP2018!$A$3:$A$257,0))</f>
        <v>36120</v>
      </c>
      <c r="R142" s="226">
        <f>INDEX(MTSP2018!O3:O257,MATCH('Income-Rent Tool'!$N$142,MTSP2018!$A$3:$A$257,0))</f>
        <v>40620</v>
      </c>
      <c r="S142" s="226">
        <f>INDEX(MTSP2018!P3:P257,MATCH('Income-Rent Tool'!$N$142,MTSP2018!$A$3:$A$257,0))</f>
        <v>45120</v>
      </c>
      <c r="T142" s="226">
        <f>INDEX(MTSP2018!Q3:Q257,MATCH('Income-Rent Tool'!$N$142,MTSP2018!$A$3:$A$257,0))</f>
        <v>48780</v>
      </c>
      <c r="U142" s="226">
        <f>INDEX(MTSP2018!R3:R257,MATCH('Income-Rent Tool'!$N$142,MTSP2018!$A$3:$A$257,0))</f>
        <v>52380</v>
      </c>
      <c r="V142" s="226">
        <f>INDEX(MTSP2018!S3:S257,MATCH('Income-Rent Tool'!$N$142,MTSP2018!$A$3:$A$257,0))</f>
        <v>55980</v>
      </c>
      <c r="W142" s="226">
        <f>INDEX(MTSP2018!T3:T257,MATCH('Income-Rent Tool'!$N$142,MTSP2018!$A$3:$A$257,0))</f>
        <v>59580</v>
      </c>
      <c r="Y142" s="226">
        <f>IF($B$18=$AU$10,VLOOKUP($N142,MTSP2018!$A$3:$AR$257,E$100+29,FALSE),0)</f>
        <v>0</v>
      </c>
      <c r="Z142" s="226">
        <f>IF($B$18=$AU$10,VLOOKUP($N142,MTSP2018!$A$3:$AR$257,F$100+29,FALSE),0)</f>
        <v>0</v>
      </c>
      <c r="AA142" s="226">
        <f>IF($B$18=$AU$10,VLOOKUP($N142,MTSP2018!$A$3:$AR$257,G$100+29,FALSE),0)</f>
        <v>0</v>
      </c>
      <c r="AB142" s="226">
        <f>IF($B$18=$AU$10,VLOOKUP($N142,MTSP2018!$A$3:$AR$257,H$100+29,FALSE),0)</f>
        <v>0</v>
      </c>
      <c r="AC142" s="226">
        <f>IF($B$18=$AU$10,VLOOKUP($N142,MTSP2018!$A$3:$AR$257,I$100+29,FALSE),0)</f>
        <v>0</v>
      </c>
      <c r="AD142" s="226">
        <f>IF($B$18=$AU$10,VLOOKUP($N142,MTSP2018!$A$3:$AR$257,J$100+29,FALSE),0)</f>
        <v>0</v>
      </c>
      <c r="AE142" s="226">
        <f>IF($B$18=$AU$10,VLOOKUP($N142,MTSP2018!$A$3:$AR$257,K$100+29,FALSE),0)</f>
        <v>0</v>
      </c>
      <c r="AF142" s="226">
        <f>IF($B$18=$AU$10,VLOOKUP($N142,MTSP2018!$A$3:$AR$257,L$100+29,FALSE),0)</f>
        <v>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50" t="s">
        <v>1415</v>
      </c>
      <c r="Q144" s="350"/>
      <c r="R144" s="350"/>
      <c r="S144" s="350"/>
      <c r="T144" s="350"/>
      <c r="U144" s="350"/>
      <c r="V144" s="350"/>
      <c r="W144" s="350"/>
      <c r="Y144" s="352" t="s">
        <v>1416</v>
      </c>
      <c r="Z144" s="352"/>
      <c r="AA144" s="352"/>
      <c r="AB144" s="352"/>
      <c r="AC144" s="352"/>
      <c r="AD144" s="352"/>
      <c r="AE144" s="352"/>
      <c r="AF144" s="352"/>
      <c r="AI144" s="349" t="s">
        <v>1417</v>
      </c>
      <c r="AJ144" s="349"/>
      <c r="AK144" s="349"/>
      <c r="AL144" s="349"/>
      <c r="AM144" s="349"/>
      <c r="AN144" s="349"/>
      <c r="AO144" s="349"/>
      <c r="AP144" s="349"/>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37760</v>
      </c>
      <c r="F145" s="112">
        <f t="shared" si="178"/>
        <v>43200</v>
      </c>
      <c r="G145" s="112">
        <f t="shared" si="178"/>
        <v>48560</v>
      </c>
      <c r="H145" s="112">
        <f t="shared" si="178"/>
        <v>53920</v>
      </c>
      <c r="I145" s="112">
        <f t="shared" si="178"/>
        <v>58240</v>
      </c>
      <c r="J145" s="112">
        <f t="shared" si="178"/>
        <v>62560</v>
      </c>
      <c r="K145" s="112">
        <f t="shared" si="178"/>
        <v>66880</v>
      </c>
      <c r="L145" s="112">
        <f t="shared" si="178"/>
        <v>71200</v>
      </c>
      <c r="N145" s="104" t="str">
        <f>CONCATENATE($AU$10,$B$11,$N$144)</f>
        <v>Before 12-31-2008Tarrant80</v>
      </c>
      <c r="P145" s="221">
        <f>VLOOKUP($N145,'pre 12-31-08'!$A$4:$L$1400,E$144+3,FALSE)</f>
        <v>37760</v>
      </c>
      <c r="Q145" s="221">
        <f>VLOOKUP($N145,'pre 12-31-08'!$A$4:$L$1400,F$144+3,FALSE)</f>
        <v>43200</v>
      </c>
      <c r="R145" s="221">
        <f>VLOOKUP($N145,'pre 12-31-08'!$A$4:$L$1400,G$144+3,FALSE)</f>
        <v>48560</v>
      </c>
      <c r="S145" s="221">
        <f>VLOOKUP($N145,'pre 12-31-08'!$A$4:$L$1400,H$144+3,FALSE)</f>
        <v>53920</v>
      </c>
      <c r="T145" s="221">
        <f>VLOOKUP($N145,'pre 12-31-08'!$A$4:$L$1400,I$144+3,FALSE)</f>
        <v>58240</v>
      </c>
      <c r="U145" s="221">
        <f>VLOOKUP($N145,'pre 12-31-08'!$A$4:$L$1400,J$144+3,FALSE)</f>
        <v>62560</v>
      </c>
      <c r="V145" s="221">
        <f>VLOOKUP($N145,'pre 12-31-08'!$A$4:$L$1400,K$144+3,FALSE)</f>
        <v>66880</v>
      </c>
      <c r="W145" s="221">
        <f>VLOOKUP($N145,'pre 12-31-08'!$A$4:$L$1400,L$144+3,FALSE)</f>
        <v>71200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37760</v>
      </c>
      <c r="F146" s="112">
        <f t="shared" si="178"/>
        <v>43200</v>
      </c>
      <c r="G146" s="112">
        <f t="shared" si="178"/>
        <v>48560</v>
      </c>
      <c r="H146" s="112">
        <f t="shared" si="178"/>
        <v>53920</v>
      </c>
      <c r="I146" s="112">
        <f t="shared" si="178"/>
        <v>58240</v>
      </c>
      <c r="J146" s="112">
        <f t="shared" si="178"/>
        <v>62560</v>
      </c>
      <c r="K146" s="112">
        <f t="shared" si="178"/>
        <v>66880</v>
      </c>
      <c r="L146" s="112">
        <f t="shared" si="178"/>
        <v>71200</v>
      </c>
      <c r="N146" s="104" t="str">
        <f>CONCATENATE($AU$11,$B$11,$N$144)</f>
        <v>1/1/2009 - 5/13/2010Tarrant80</v>
      </c>
      <c r="P146" s="221">
        <f>VLOOKUP($N146,'1-1-09-5-14-10'!$A$4:$L$1400,E$144+3,FALSE)</f>
        <v>37760</v>
      </c>
      <c r="Q146" s="221">
        <f>VLOOKUP($N146,'1-1-09-5-14-10'!$A$4:$L$1400,F$144+3,FALSE)</f>
        <v>43200</v>
      </c>
      <c r="R146" s="221">
        <f>VLOOKUP($N146,'1-1-09-5-14-10'!$A$4:$L$1400,G$144+3,FALSE)</f>
        <v>48560</v>
      </c>
      <c r="S146" s="221">
        <f>VLOOKUP($N146,'1-1-09-5-14-10'!$A$4:$L$1400,H$144+3,FALSE)</f>
        <v>53920</v>
      </c>
      <c r="T146" s="221">
        <f>VLOOKUP($N146,'1-1-09-5-14-10'!$A$4:$L$1400,I$144+3,FALSE)</f>
        <v>58240</v>
      </c>
      <c r="U146" s="221">
        <f>VLOOKUP($N146,'1-1-09-5-14-10'!$A$4:$L$1400,J$144+3,FALSE)</f>
        <v>62560</v>
      </c>
      <c r="V146" s="221">
        <f>VLOOKUP($N146,'1-1-09-5-14-10'!$A$4:$L$1400,K$144+3,FALSE)</f>
        <v>66880</v>
      </c>
      <c r="W146" s="221">
        <f>VLOOKUP($N146,'1-1-09-5-14-10'!$A$4:$L$1400,L$144+3,FALSE)</f>
        <v>71200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37760</v>
      </c>
      <c r="F147" s="190">
        <f t="shared" si="181"/>
        <v>43200</v>
      </c>
      <c r="G147" s="190">
        <f t="shared" si="181"/>
        <v>48560</v>
      </c>
      <c r="H147" s="190">
        <f t="shared" si="181"/>
        <v>53920</v>
      </c>
      <c r="I147" s="190">
        <f t="shared" si="181"/>
        <v>58240</v>
      </c>
      <c r="J147" s="190">
        <f t="shared" si="181"/>
        <v>62560</v>
      </c>
      <c r="K147" s="190">
        <f t="shared" si="181"/>
        <v>66880</v>
      </c>
      <c r="L147" s="190">
        <f t="shared" si="181"/>
        <v>71200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37760</v>
      </c>
      <c r="F148" s="112">
        <f t="shared" si="178"/>
        <v>43200</v>
      </c>
      <c r="G148" s="112">
        <f t="shared" si="178"/>
        <v>48560</v>
      </c>
      <c r="H148" s="112">
        <f t="shared" si="178"/>
        <v>53920</v>
      </c>
      <c r="I148" s="112">
        <f t="shared" si="178"/>
        <v>58240</v>
      </c>
      <c r="J148" s="112">
        <f t="shared" si="178"/>
        <v>62560</v>
      </c>
      <c r="K148" s="112">
        <f t="shared" si="178"/>
        <v>66880</v>
      </c>
      <c r="L148" s="112">
        <f t="shared" si="178"/>
        <v>71200</v>
      </c>
      <c r="N148" s="104" t="str">
        <f>CONCATENATE($AU$13,$B$11,$N$144)</f>
        <v>6/29/2010 - 5/30/2011Tarrant80</v>
      </c>
      <c r="P148" s="221">
        <f>VLOOKUP($N148,'5-14-10-5-31-11'!$A$4:$L$1400,E$144+3,FALSE)</f>
        <v>37760</v>
      </c>
      <c r="Q148" s="221">
        <f>VLOOKUP($N148,'5-14-10-5-31-11'!$A$4:$L$1400,F$144+3,FALSE)</f>
        <v>43200</v>
      </c>
      <c r="R148" s="221">
        <f>VLOOKUP($N148,'5-14-10-5-31-11'!$A$4:$L$1400,G$144+3,FALSE)</f>
        <v>48560</v>
      </c>
      <c r="S148" s="221">
        <f>VLOOKUP($N148,'5-14-10-5-31-11'!$A$4:$L$1400,H$144+3,FALSE)</f>
        <v>53920</v>
      </c>
      <c r="T148" s="221">
        <f>VLOOKUP($N148,'5-14-10-5-31-11'!$A$4:$L$1400,I$144+3,FALSE)</f>
        <v>58240</v>
      </c>
      <c r="U148" s="221">
        <f>VLOOKUP($N148,'5-14-10-5-31-11'!$A$4:$L$1400,J$144+3,FALSE)</f>
        <v>62560</v>
      </c>
      <c r="V148" s="221">
        <f>VLOOKUP($N148,'5-14-10-5-31-11'!$A$4:$L$1400,K$144+3,FALSE)</f>
        <v>66880</v>
      </c>
      <c r="W148" s="221">
        <f>VLOOKUP($N148,'5-14-10-5-31-11'!$A$4:$L$1400,L$144+3,FALSE)</f>
        <v>71200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38320</v>
      </c>
      <c r="F149" s="190">
        <f t="shared" si="183"/>
        <v>43760</v>
      </c>
      <c r="G149" s="190">
        <f t="shared" si="183"/>
        <v>49200</v>
      </c>
      <c r="H149" s="190">
        <f t="shared" si="183"/>
        <v>54640</v>
      </c>
      <c r="I149" s="190">
        <f t="shared" si="183"/>
        <v>59040</v>
      </c>
      <c r="J149" s="190">
        <f t="shared" si="183"/>
        <v>63440</v>
      </c>
      <c r="K149" s="190">
        <f t="shared" si="183"/>
        <v>67760</v>
      </c>
      <c r="L149" s="190">
        <f t="shared" si="183"/>
        <v>72160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38320</v>
      </c>
      <c r="F150" s="112">
        <f t="shared" si="178"/>
        <v>43760</v>
      </c>
      <c r="G150" s="112">
        <f t="shared" si="178"/>
        <v>49200</v>
      </c>
      <c r="H150" s="112">
        <f t="shared" si="178"/>
        <v>54640</v>
      </c>
      <c r="I150" s="112">
        <f t="shared" si="178"/>
        <v>59040</v>
      </c>
      <c r="J150" s="112">
        <f t="shared" si="178"/>
        <v>63440</v>
      </c>
      <c r="K150" s="112">
        <f t="shared" si="178"/>
        <v>67760</v>
      </c>
      <c r="L150" s="112">
        <f t="shared" si="178"/>
        <v>72160</v>
      </c>
      <c r="N150" s="188" t="s">
        <v>2106</v>
      </c>
      <c r="P150" s="221">
        <f>+P106/5*8</f>
        <v>38320</v>
      </c>
      <c r="Q150" s="221">
        <f t="shared" ref="Q150:W150" si="184">+Q106/5*8</f>
        <v>43760</v>
      </c>
      <c r="R150" s="221">
        <f t="shared" si="184"/>
        <v>49200</v>
      </c>
      <c r="S150" s="221">
        <f t="shared" si="184"/>
        <v>54640</v>
      </c>
      <c r="T150" s="221">
        <f t="shared" si="184"/>
        <v>59040</v>
      </c>
      <c r="U150" s="221">
        <f t="shared" si="184"/>
        <v>63440</v>
      </c>
      <c r="V150" s="221">
        <f t="shared" si="184"/>
        <v>67760</v>
      </c>
      <c r="W150" s="221">
        <f t="shared" si="184"/>
        <v>72160</v>
      </c>
      <c r="Y150" s="221">
        <f t="shared" ref="Y150:AF150" si="185">+Y106/5*8</f>
        <v>0</v>
      </c>
      <c r="Z150" s="221">
        <f t="shared" si="185"/>
        <v>0</v>
      </c>
      <c r="AA150" s="221">
        <f t="shared" si="185"/>
        <v>0</v>
      </c>
      <c r="AB150" s="221">
        <f t="shared" si="185"/>
        <v>0</v>
      </c>
      <c r="AC150" s="221">
        <f t="shared" si="185"/>
        <v>0</v>
      </c>
      <c r="AD150" s="221">
        <f t="shared" si="185"/>
        <v>0</v>
      </c>
      <c r="AE150" s="221">
        <f t="shared" si="185"/>
        <v>0</v>
      </c>
      <c r="AF150" s="221">
        <f t="shared" si="185"/>
        <v>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38800</v>
      </c>
      <c r="F151" s="190">
        <f t="shared" si="187"/>
        <v>44320</v>
      </c>
      <c r="G151" s="190">
        <f t="shared" si="187"/>
        <v>49840</v>
      </c>
      <c r="H151" s="190">
        <f t="shared" si="187"/>
        <v>55360</v>
      </c>
      <c r="I151" s="190">
        <f t="shared" si="187"/>
        <v>59840</v>
      </c>
      <c r="J151" s="190">
        <f t="shared" si="187"/>
        <v>64240</v>
      </c>
      <c r="K151" s="190">
        <f t="shared" si="187"/>
        <v>68720</v>
      </c>
      <c r="L151" s="190">
        <f t="shared" si="187"/>
        <v>73120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38800</v>
      </c>
      <c r="F152" s="112">
        <f t="shared" si="178"/>
        <v>44320</v>
      </c>
      <c r="G152" s="112">
        <f t="shared" si="178"/>
        <v>49840</v>
      </c>
      <c r="H152" s="112">
        <f t="shared" si="178"/>
        <v>55360</v>
      </c>
      <c r="I152" s="112">
        <f t="shared" si="178"/>
        <v>59840</v>
      </c>
      <c r="J152" s="112">
        <f t="shared" si="178"/>
        <v>64240</v>
      </c>
      <c r="K152" s="112">
        <f t="shared" si="178"/>
        <v>68720</v>
      </c>
      <c r="L152" s="112">
        <f t="shared" si="178"/>
        <v>73120</v>
      </c>
      <c r="N152" s="188" t="s">
        <v>2108</v>
      </c>
      <c r="P152" s="221">
        <f t="shared" ref="P152:W152" si="188">+P108/5*8</f>
        <v>38800</v>
      </c>
      <c r="Q152" s="221">
        <f t="shared" si="188"/>
        <v>44320</v>
      </c>
      <c r="R152" s="221">
        <f t="shared" si="188"/>
        <v>49840</v>
      </c>
      <c r="S152" s="221">
        <f t="shared" si="188"/>
        <v>55360</v>
      </c>
      <c r="T152" s="221">
        <f t="shared" si="188"/>
        <v>59840</v>
      </c>
      <c r="U152" s="221">
        <f t="shared" si="188"/>
        <v>64240</v>
      </c>
      <c r="V152" s="221">
        <f t="shared" si="188"/>
        <v>68720</v>
      </c>
      <c r="W152" s="221">
        <f t="shared" si="188"/>
        <v>73120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38800</v>
      </c>
      <c r="F153" s="190">
        <f t="shared" si="191"/>
        <v>44320</v>
      </c>
      <c r="G153" s="190">
        <f t="shared" si="191"/>
        <v>49840</v>
      </c>
      <c r="H153" s="190">
        <f t="shared" si="191"/>
        <v>55360</v>
      </c>
      <c r="I153" s="190">
        <f t="shared" si="191"/>
        <v>59840</v>
      </c>
      <c r="J153" s="190">
        <f t="shared" si="191"/>
        <v>64240</v>
      </c>
      <c r="K153" s="190">
        <f t="shared" si="191"/>
        <v>68720</v>
      </c>
      <c r="L153" s="190">
        <f t="shared" si="191"/>
        <v>73120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38800</v>
      </c>
      <c r="F154" s="112">
        <f t="shared" si="178"/>
        <v>44320</v>
      </c>
      <c r="G154" s="112">
        <f t="shared" si="178"/>
        <v>49840</v>
      </c>
      <c r="H154" s="112">
        <f t="shared" si="178"/>
        <v>55360</v>
      </c>
      <c r="I154" s="112">
        <f t="shared" si="178"/>
        <v>59840</v>
      </c>
      <c r="J154" s="112">
        <f t="shared" si="178"/>
        <v>64240</v>
      </c>
      <c r="K154" s="112">
        <f t="shared" si="178"/>
        <v>68720</v>
      </c>
      <c r="L154" s="112">
        <f t="shared" si="178"/>
        <v>73120</v>
      </c>
      <c r="N154" s="188" t="s">
        <v>2126</v>
      </c>
      <c r="P154" s="221">
        <f t="shared" ref="P154:W154" si="192">+P110/5*8</f>
        <v>36880</v>
      </c>
      <c r="Q154" s="221">
        <f t="shared" si="192"/>
        <v>42160</v>
      </c>
      <c r="R154" s="221">
        <f t="shared" si="192"/>
        <v>47440</v>
      </c>
      <c r="S154" s="221">
        <f t="shared" si="192"/>
        <v>52640</v>
      </c>
      <c r="T154" s="221">
        <f t="shared" si="192"/>
        <v>56880</v>
      </c>
      <c r="U154" s="221">
        <f t="shared" si="192"/>
        <v>61120</v>
      </c>
      <c r="V154" s="221">
        <f t="shared" si="192"/>
        <v>65280</v>
      </c>
      <c r="W154" s="221">
        <f t="shared" si="192"/>
        <v>69520</v>
      </c>
      <c r="Y154" s="221">
        <f t="shared" ref="Y154:AF154" si="193">+Y110/5*8</f>
        <v>38800</v>
      </c>
      <c r="Z154" s="221">
        <f t="shared" si="193"/>
        <v>44320</v>
      </c>
      <c r="AA154" s="221">
        <f t="shared" si="193"/>
        <v>49840</v>
      </c>
      <c r="AB154" s="221">
        <f t="shared" si="193"/>
        <v>55360</v>
      </c>
      <c r="AC154" s="221">
        <f t="shared" si="193"/>
        <v>59840</v>
      </c>
      <c r="AD154" s="221">
        <f t="shared" si="193"/>
        <v>64240</v>
      </c>
      <c r="AE154" s="221">
        <f t="shared" si="193"/>
        <v>68720</v>
      </c>
      <c r="AF154" s="221">
        <f t="shared" si="193"/>
        <v>73120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38800</v>
      </c>
      <c r="F155" s="190">
        <f t="shared" si="196"/>
        <v>44320</v>
      </c>
      <c r="G155" s="190">
        <f t="shared" si="196"/>
        <v>49840</v>
      </c>
      <c r="H155" s="190">
        <f t="shared" si="196"/>
        <v>55360</v>
      </c>
      <c r="I155" s="190">
        <f t="shared" si="196"/>
        <v>59840</v>
      </c>
      <c r="J155" s="190">
        <f t="shared" si="196"/>
        <v>64240</v>
      </c>
      <c r="K155" s="190">
        <f t="shared" si="196"/>
        <v>68720</v>
      </c>
      <c r="L155" s="190">
        <f t="shared" si="196"/>
        <v>73120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38800</v>
      </c>
      <c r="F156" s="112">
        <f t="shared" si="197"/>
        <v>44320</v>
      </c>
      <c r="G156" s="112">
        <f t="shared" si="197"/>
        <v>49840</v>
      </c>
      <c r="H156" s="112">
        <f t="shared" si="197"/>
        <v>55360</v>
      </c>
      <c r="I156" s="112">
        <f t="shared" si="197"/>
        <v>59840</v>
      </c>
      <c r="J156" s="112">
        <f t="shared" si="197"/>
        <v>64240</v>
      </c>
      <c r="K156" s="112">
        <f t="shared" si="197"/>
        <v>68720</v>
      </c>
      <c r="L156" s="112">
        <f t="shared" si="197"/>
        <v>73120</v>
      </c>
      <c r="N156" s="108" t="s">
        <v>2190</v>
      </c>
      <c r="P156" s="221">
        <f>+P112/5*8</f>
        <v>36880</v>
      </c>
      <c r="Q156" s="221">
        <f t="shared" ref="Q156:W156" si="198">+Q112/5*8</f>
        <v>42160</v>
      </c>
      <c r="R156" s="221">
        <f t="shared" si="198"/>
        <v>47440</v>
      </c>
      <c r="S156" s="221">
        <f t="shared" si="198"/>
        <v>52640</v>
      </c>
      <c r="T156" s="221">
        <f t="shared" si="198"/>
        <v>56880</v>
      </c>
      <c r="U156" s="221">
        <f t="shared" si="198"/>
        <v>61120</v>
      </c>
      <c r="V156" s="221">
        <f t="shared" si="198"/>
        <v>65280</v>
      </c>
      <c r="W156" s="221">
        <f t="shared" si="198"/>
        <v>69520</v>
      </c>
      <c r="Y156" s="221">
        <f t="shared" ref="Y156:AF158" si="199">+Y112/5*8</f>
        <v>38800</v>
      </c>
      <c r="Z156" s="221">
        <f t="shared" si="199"/>
        <v>44320</v>
      </c>
      <c r="AA156" s="221">
        <f t="shared" si="199"/>
        <v>49840</v>
      </c>
      <c r="AB156" s="221">
        <f t="shared" si="199"/>
        <v>55360</v>
      </c>
      <c r="AC156" s="221">
        <f t="shared" si="199"/>
        <v>59840</v>
      </c>
      <c r="AD156" s="221">
        <f t="shared" si="199"/>
        <v>64240</v>
      </c>
      <c r="AE156" s="221">
        <f t="shared" si="199"/>
        <v>68720</v>
      </c>
      <c r="AF156" s="221">
        <f t="shared" si="199"/>
        <v>73120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39520</v>
      </c>
      <c r="F157" s="190">
        <f t="shared" ref="F157:L157" si="201">+MAX(F156,F158)</f>
        <v>45120</v>
      </c>
      <c r="G157" s="190">
        <f t="shared" si="201"/>
        <v>50800</v>
      </c>
      <c r="H157" s="190">
        <f t="shared" si="201"/>
        <v>56400</v>
      </c>
      <c r="I157" s="190">
        <f t="shared" si="201"/>
        <v>60960</v>
      </c>
      <c r="J157" s="190">
        <f t="shared" si="201"/>
        <v>65440</v>
      </c>
      <c r="K157" s="190">
        <f t="shared" si="201"/>
        <v>70000</v>
      </c>
      <c r="L157" s="190">
        <f t="shared" si="201"/>
        <v>74480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39520</v>
      </c>
      <c r="F158" s="239">
        <f t="shared" si="202"/>
        <v>45120</v>
      </c>
      <c r="G158" s="239">
        <f t="shared" si="202"/>
        <v>50800</v>
      </c>
      <c r="H158" s="239">
        <f t="shared" si="202"/>
        <v>56400</v>
      </c>
      <c r="I158" s="239">
        <f t="shared" si="202"/>
        <v>60960</v>
      </c>
      <c r="J158" s="239">
        <f t="shared" si="202"/>
        <v>65440</v>
      </c>
      <c r="K158" s="239">
        <f t="shared" si="202"/>
        <v>70000</v>
      </c>
      <c r="L158" s="239">
        <f t="shared" si="202"/>
        <v>74480</v>
      </c>
      <c r="N158" s="108" t="s">
        <v>2229</v>
      </c>
      <c r="P158" s="221">
        <f>+P114/5*8</f>
        <v>39040</v>
      </c>
      <c r="Q158" s="221">
        <f t="shared" ref="Q158:W158" si="203">+Q114/5*8</f>
        <v>44640</v>
      </c>
      <c r="R158" s="221">
        <f t="shared" si="203"/>
        <v>50240</v>
      </c>
      <c r="S158" s="221">
        <f t="shared" si="203"/>
        <v>55760</v>
      </c>
      <c r="T158" s="221">
        <f t="shared" si="203"/>
        <v>60240</v>
      </c>
      <c r="U158" s="221">
        <f t="shared" si="203"/>
        <v>64720</v>
      </c>
      <c r="V158" s="221">
        <f t="shared" si="203"/>
        <v>69200</v>
      </c>
      <c r="W158" s="221">
        <f t="shared" si="203"/>
        <v>73680</v>
      </c>
      <c r="Y158" s="221">
        <f t="shared" si="199"/>
        <v>39520</v>
      </c>
      <c r="Z158" s="221">
        <f t="shared" si="199"/>
        <v>45120</v>
      </c>
      <c r="AA158" s="221">
        <f t="shared" si="199"/>
        <v>50800</v>
      </c>
      <c r="AB158" s="221">
        <f t="shared" si="199"/>
        <v>56400</v>
      </c>
      <c r="AC158" s="221">
        <f t="shared" si="199"/>
        <v>60960</v>
      </c>
      <c r="AD158" s="221">
        <f t="shared" si="199"/>
        <v>65440</v>
      </c>
      <c r="AE158" s="221">
        <f t="shared" si="199"/>
        <v>70000</v>
      </c>
      <c r="AF158" s="221">
        <f t="shared" si="199"/>
        <v>74480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39520</v>
      </c>
      <c r="F159" s="190">
        <f t="shared" ref="F159:L159" si="204">+MAX(F158,F160)</f>
        <v>45120</v>
      </c>
      <c r="G159" s="190">
        <f t="shared" si="204"/>
        <v>50800</v>
      </c>
      <c r="H159" s="190">
        <f t="shared" si="204"/>
        <v>56400</v>
      </c>
      <c r="I159" s="190">
        <f t="shared" si="204"/>
        <v>60960</v>
      </c>
      <c r="J159" s="190">
        <f t="shared" si="204"/>
        <v>65440</v>
      </c>
      <c r="K159" s="190">
        <f t="shared" si="204"/>
        <v>70000</v>
      </c>
      <c r="L159" s="190">
        <f t="shared" si="204"/>
        <v>74480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39520</v>
      </c>
      <c r="F160" s="239">
        <f t="shared" si="205"/>
        <v>45120</v>
      </c>
      <c r="G160" s="239">
        <f t="shared" si="205"/>
        <v>50800</v>
      </c>
      <c r="H160" s="239">
        <f t="shared" si="205"/>
        <v>56400</v>
      </c>
      <c r="I160" s="239">
        <f t="shared" si="205"/>
        <v>60960</v>
      </c>
      <c r="J160" s="239">
        <f t="shared" si="205"/>
        <v>65440</v>
      </c>
      <c r="K160" s="239">
        <f t="shared" si="205"/>
        <v>70000</v>
      </c>
      <c r="L160" s="239">
        <f t="shared" si="205"/>
        <v>74480</v>
      </c>
      <c r="N160" s="108" t="s">
        <v>2269</v>
      </c>
      <c r="P160" s="221">
        <f>+P116*1.6</f>
        <v>38880</v>
      </c>
      <c r="Q160" s="221">
        <f t="shared" ref="Q160:W160" si="206">+Q116*1.6</f>
        <v>44480</v>
      </c>
      <c r="R160" s="221">
        <f t="shared" si="206"/>
        <v>50000</v>
      </c>
      <c r="S160" s="221">
        <f t="shared" si="206"/>
        <v>55520</v>
      </c>
      <c r="T160" s="221">
        <f t="shared" si="206"/>
        <v>60000</v>
      </c>
      <c r="U160" s="221">
        <f t="shared" si="206"/>
        <v>64480</v>
      </c>
      <c r="V160" s="221">
        <f t="shared" si="206"/>
        <v>68880</v>
      </c>
      <c r="W160" s="221">
        <f t="shared" si="206"/>
        <v>73360</v>
      </c>
      <c r="Y160" s="221">
        <f>+Y116*1.6</f>
        <v>39520</v>
      </c>
      <c r="Z160" s="221">
        <f t="shared" ref="Z160:AF160" si="207">+Z116*1.6</f>
        <v>45120</v>
      </c>
      <c r="AA160" s="221">
        <f t="shared" si="207"/>
        <v>50800</v>
      </c>
      <c r="AB160" s="221">
        <f t="shared" si="207"/>
        <v>56400</v>
      </c>
      <c r="AC160" s="221">
        <f t="shared" si="207"/>
        <v>60960</v>
      </c>
      <c r="AD160" s="221">
        <f t="shared" si="207"/>
        <v>65440</v>
      </c>
      <c r="AE160" s="221">
        <f t="shared" si="207"/>
        <v>70000</v>
      </c>
      <c r="AF160" s="221">
        <f t="shared" si="207"/>
        <v>74480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40000</v>
      </c>
      <c r="F161" s="224">
        <f t="shared" ref="F161:L163" si="209">+MAX(F160,F162)</f>
        <v>45760</v>
      </c>
      <c r="G161" s="224">
        <f t="shared" si="209"/>
        <v>51440</v>
      </c>
      <c r="H161" s="224">
        <f t="shared" si="209"/>
        <v>57120</v>
      </c>
      <c r="I161" s="224">
        <f t="shared" si="209"/>
        <v>61760</v>
      </c>
      <c r="J161" s="224">
        <f t="shared" si="209"/>
        <v>66320</v>
      </c>
      <c r="K161" s="224">
        <f t="shared" si="209"/>
        <v>70880</v>
      </c>
      <c r="L161" s="224">
        <f t="shared" si="209"/>
        <v>75440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40000</v>
      </c>
      <c r="F162" s="187">
        <f t="shared" ref="F162:L162" si="211">+MAX(Q162,Z162,AJ162)</f>
        <v>45760</v>
      </c>
      <c r="G162" s="187">
        <f t="shared" si="211"/>
        <v>51440</v>
      </c>
      <c r="H162" s="187">
        <f t="shared" si="211"/>
        <v>57120</v>
      </c>
      <c r="I162" s="187">
        <f t="shared" si="211"/>
        <v>61760</v>
      </c>
      <c r="J162" s="187">
        <f t="shared" si="211"/>
        <v>66320</v>
      </c>
      <c r="K162" s="187">
        <f t="shared" si="211"/>
        <v>70880</v>
      </c>
      <c r="L162" s="187">
        <f t="shared" si="211"/>
        <v>75440</v>
      </c>
      <c r="N162" s="269" t="s">
        <v>2432</v>
      </c>
      <c r="P162" s="226">
        <f>+P118*1.6</f>
        <v>40000</v>
      </c>
      <c r="Q162" s="226">
        <f t="shared" ref="Q162:W162" si="212">+Q118*1.6</f>
        <v>45760</v>
      </c>
      <c r="R162" s="226">
        <f t="shared" si="212"/>
        <v>51440</v>
      </c>
      <c r="S162" s="226">
        <f t="shared" si="212"/>
        <v>57120</v>
      </c>
      <c r="T162" s="226">
        <f t="shared" si="212"/>
        <v>61760</v>
      </c>
      <c r="U162" s="226">
        <f t="shared" si="212"/>
        <v>66320</v>
      </c>
      <c r="V162" s="226">
        <f t="shared" si="212"/>
        <v>70880</v>
      </c>
      <c r="W162" s="226">
        <f t="shared" si="212"/>
        <v>75440</v>
      </c>
      <c r="Y162" s="226">
        <f>+Y118*1.6</f>
        <v>0</v>
      </c>
      <c r="Z162" s="226">
        <f t="shared" ref="Z162:AF162" si="213">+Z118*1.6</f>
        <v>0</v>
      </c>
      <c r="AA162" s="226">
        <f t="shared" si="213"/>
        <v>0</v>
      </c>
      <c r="AB162" s="226">
        <f t="shared" si="213"/>
        <v>0</v>
      </c>
      <c r="AC162" s="226">
        <f t="shared" si="213"/>
        <v>0</v>
      </c>
      <c r="AD162" s="226">
        <f t="shared" si="213"/>
        <v>0</v>
      </c>
      <c r="AE162" s="226">
        <f t="shared" si="213"/>
        <v>0</v>
      </c>
      <c r="AF162" s="226">
        <f t="shared" si="213"/>
        <v>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42160</v>
      </c>
      <c r="F163" s="224">
        <f t="shared" si="209"/>
        <v>48160</v>
      </c>
      <c r="G163" s="224">
        <f t="shared" si="209"/>
        <v>54160</v>
      </c>
      <c r="H163" s="224">
        <f t="shared" si="209"/>
        <v>60160</v>
      </c>
      <c r="I163" s="224">
        <f t="shared" si="209"/>
        <v>65040</v>
      </c>
      <c r="J163" s="224">
        <f t="shared" si="209"/>
        <v>69840</v>
      </c>
      <c r="K163" s="224">
        <f t="shared" si="209"/>
        <v>74640</v>
      </c>
      <c r="L163" s="224">
        <f t="shared" si="209"/>
        <v>79440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42160</v>
      </c>
      <c r="F164" s="187">
        <f t="shared" ref="F164" si="217">+MAX(Q164,Z164,AJ164)</f>
        <v>48160</v>
      </c>
      <c r="G164" s="187">
        <f t="shared" ref="G164" si="218">+MAX(R164,AA164,AK164)</f>
        <v>54160</v>
      </c>
      <c r="H164" s="187">
        <f t="shared" ref="H164" si="219">+MAX(S164,AB164,AL164)</f>
        <v>60160</v>
      </c>
      <c r="I164" s="187">
        <f t="shared" ref="I164" si="220">+MAX(T164,AC164,AM164)</f>
        <v>65040</v>
      </c>
      <c r="J164" s="187">
        <f t="shared" ref="J164" si="221">+MAX(U164,AD164,AN164)</f>
        <v>69840</v>
      </c>
      <c r="K164" s="187">
        <f t="shared" ref="K164" si="222">+MAX(V164,AE164,AO164)</f>
        <v>74640</v>
      </c>
      <c r="L164" s="187">
        <f t="shared" ref="L164" si="223">+MAX(W164,AF164,AP164)</f>
        <v>79440</v>
      </c>
      <c r="N164" s="316" t="s">
        <v>2419</v>
      </c>
      <c r="P164" s="226">
        <f>P120*1.6</f>
        <v>42160</v>
      </c>
      <c r="Q164" s="226">
        <f t="shared" ref="Q164:W164" si="224">Q120*1.6</f>
        <v>48160</v>
      </c>
      <c r="R164" s="226">
        <f t="shared" si="224"/>
        <v>54160</v>
      </c>
      <c r="S164" s="226">
        <f t="shared" si="224"/>
        <v>60160</v>
      </c>
      <c r="T164" s="226">
        <f t="shared" si="224"/>
        <v>65040</v>
      </c>
      <c r="U164" s="226">
        <f t="shared" si="224"/>
        <v>69840</v>
      </c>
      <c r="V164" s="226">
        <f t="shared" si="224"/>
        <v>74640</v>
      </c>
      <c r="W164" s="226">
        <f t="shared" si="224"/>
        <v>79440</v>
      </c>
      <c r="Y164" s="226">
        <f>+Y120*1.6</f>
        <v>0</v>
      </c>
      <c r="Z164" s="226">
        <f t="shared" ref="Z164:AF164" si="225">+Z120*1.6</f>
        <v>0</v>
      </c>
      <c r="AA164" s="226">
        <f t="shared" si="225"/>
        <v>0</v>
      </c>
      <c r="AB164" s="226">
        <f t="shared" si="225"/>
        <v>0</v>
      </c>
      <c r="AC164" s="226">
        <f t="shared" si="225"/>
        <v>0</v>
      </c>
      <c r="AD164" s="226">
        <f t="shared" si="225"/>
        <v>0</v>
      </c>
      <c r="AE164" s="226">
        <f t="shared" si="225"/>
        <v>0</v>
      </c>
      <c r="AF164" s="226">
        <f t="shared" si="225"/>
        <v>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 hidden="1">
      <c r="A166" s="122"/>
      <c r="B166" s="123"/>
      <c r="C166" s="123"/>
      <c r="D166" s="123"/>
      <c r="E166" s="123"/>
      <c r="F166" s="123"/>
      <c r="G166" s="123"/>
      <c r="H166" s="123"/>
      <c r="I166" s="123"/>
      <c r="J166" s="123"/>
      <c r="K166" s="123"/>
      <c r="L166" s="124"/>
      <c r="N166" s="109" t="s">
        <v>1066</v>
      </c>
      <c r="P166" s="351" t="s">
        <v>1066</v>
      </c>
      <c r="Q166" s="351"/>
      <c r="R166" s="351"/>
      <c r="S166" s="351"/>
      <c r="T166" s="351"/>
      <c r="U166" s="351"/>
      <c r="V166" s="351"/>
      <c r="W166" s="351"/>
      <c r="AI166" s="351" t="s">
        <v>2226</v>
      </c>
      <c r="AJ166" s="351"/>
      <c r="AK166" s="351"/>
      <c r="AL166" s="351"/>
      <c r="AM166" s="351"/>
      <c r="AN166" s="351"/>
      <c r="AO166" s="351"/>
      <c r="AP166" s="351"/>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12-31-2008Tarrant60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1/1/2009 - 5/13/2010Tarrant60</v>
      </c>
      <c r="P168" s="45"/>
      <c r="Q168" s="37"/>
      <c r="R168" s="46"/>
      <c r="S168" s="221">
        <f>+S102/5*10</f>
        <v>67400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67400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6/29/2010 - 5/30/2011Tarrant60</v>
      </c>
      <c r="P170" s="45"/>
      <c r="Q170" s="37"/>
      <c r="R170" s="46"/>
      <c r="S170" s="221">
        <f>+S104/5*10</f>
        <v>67400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68300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7/16/2011 - 11/31/2011Tarrant</v>
      </c>
      <c r="P172" s="45"/>
      <c r="Q172" s="37"/>
      <c r="R172" s="46"/>
      <c r="S172" s="221">
        <f>VLOOKUP($N172,'6-1-11'!$A$4:$T$257,E$122+3,FALSE)</f>
        <v>68300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69200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1/16/2012 - 12/3/2012Tarrant</v>
      </c>
      <c r="P174" s="45"/>
      <c r="Q174" s="37"/>
      <c r="R174" s="46"/>
      <c r="S174" s="221">
        <f>VLOOKUP($N174,'12-1-11'!$A$4:$T$257,E$122+3,FALSE)</f>
        <v>69200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69200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1/18/2013 - 12/17/2013Tarrant</v>
      </c>
      <c r="P176" s="45"/>
      <c r="Q176" s="37"/>
      <c r="R176" s="46"/>
      <c r="S176" s="221">
        <f>VLOOKUP($N176,'2013 placeholder'!$A$4:$T$257,E$122+3,FALSE)</f>
        <v>65600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65800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2/1/2014 - 3/5/2015Tarrant</v>
      </c>
      <c r="P178" s="45"/>
      <c r="Q178" s="37"/>
      <c r="R178" s="46"/>
      <c r="S178" s="226">
        <f>VLOOKUP(N178,'2014 placeholder'!A4:D257,E122+3,FALSE)</f>
        <v>65800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70500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4/21/2015 - 3/27/2016Tarrant</v>
      </c>
      <c r="P180" s="45"/>
      <c r="Q180" s="37"/>
      <c r="R180" s="46"/>
      <c r="S180" s="226">
        <f>VLOOKUP(N180,'2015 MTSP Limits'!A4:D257,E122+3,FALSE)</f>
        <v>70500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70500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5/13/2016 - 4/13/2017Tarrant</v>
      </c>
      <c r="P182" s="45"/>
      <c r="Q182" s="37"/>
      <c r="R182" s="46"/>
      <c r="S182" s="226">
        <f>VLOOKUP(N182,MTSP2016!A4:D257,E122+3,FALSE)</f>
        <v>69400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71400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5/30/2017 - 3/31/2018Tarrant</v>
      </c>
      <c r="P184" s="47"/>
      <c r="Q184" s="50"/>
      <c r="R184" s="48"/>
      <c r="S184" s="226">
        <f>VLOOKUP($N184,MTSP2017!A4:D257,E122+3,FALSE)</f>
        <v>71400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75200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5/17/2018Tarrant</v>
      </c>
      <c r="P186" s="37"/>
      <c r="Q186" s="37"/>
      <c r="R186" s="37"/>
      <c r="S186" s="238">
        <f>INDEX(MTSP2018!D3:D257,MATCH('Income-Rent Tool'!N186,MTSP2018!A3:A257,0))</f>
        <v>75200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66"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67"/>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67"/>
      <c r="B190" s="115"/>
      <c r="C190" s="116"/>
      <c r="D190" s="71">
        <v>30</v>
      </c>
      <c r="E190" s="72">
        <f>+VLOOKUP($N190,'HOME 2-25-2013'!$A$1:$BH$256,4+E$189,FALSE)</f>
        <v>15000</v>
      </c>
      <c r="F190" s="72">
        <f>+VLOOKUP($N190,'HOME 2-25-2013'!$A$1:$BH$256,4+F$189,FALSE)</f>
        <v>17150</v>
      </c>
      <c r="G190" s="72">
        <f>+VLOOKUP($N190,'HOME 2-25-2013'!$A$1:$BH$256,4+G$189,FALSE)</f>
        <v>19300</v>
      </c>
      <c r="H190" s="72">
        <f>+VLOOKUP($N190,'HOME 2-25-2013'!$A$1:$BH$256,4+H$189,FALSE)</f>
        <v>21400</v>
      </c>
      <c r="I190" s="72">
        <f>+VLOOKUP($N190,'HOME 2-25-2013'!$A$1:$BH$256,4+I$189,FALSE)</f>
        <v>23150</v>
      </c>
      <c r="J190" s="72">
        <f>+VLOOKUP($N190,'HOME 2-25-2013'!$A$1:$BH$256,4+J$189,FALSE)</f>
        <v>24850</v>
      </c>
      <c r="K190" s="72">
        <f>+VLOOKUP($N190,'HOME 2-25-2013'!$A$1:$BH$256,4+K$189,FALSE)</f>
        <v>26550</v>
      </c>
      <c r="L190" s="72">
        <f>+VLOOKUP($N190,'HOME 2-25-2013'!$A$1:$BH$256,4+L$189,FALSE)</f>
        <v>28250</v>
      </c>
      <c r="M190" s="125"/>
      <c r="N190" s="111" t="str">
        <f t="shared" ref="N190:N195" si="228">+B$11</f>
        <v>Tarrant</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67"/>
      <c r="B191" s="115"/>
      <c r="C191" s="116"/>
      <c r="D191" s="73">
        <v>40</v>
      </c>
      <c r="E191" s="72">
        <f>0.8*E192</f>
        <v>20000</v>
      </c>
      <c r="F191" s="72">
        <f t="shared" ref="F191:L191" si="229">0.8*F192</f>
        <v>22880</v>
      </c>
      <c r="G191" s="72">
        <f t="shared" si="229"/>
        <v>25720</v>
      </c>
      <c r="H191" s="72">
        <f t="shared" si="229"/>
        <v>28560</v>
      </c>
      <c r="I191" s="72">
        <f t="shared" si="229"/>
        <v>30880</v>
      </c>
      <c r="J191" s="72">
        <f t="shared" si="229"/>
        <v>33160</v>
      </c>
      <c r="K191" s="72">
        <f t="shared" si="229"/>
        <v>35440</v>
      </c>
      <c r="L191" s="72">
        <f t="shared" si="229"/>
        <v>37720</v>
      </c>
      <c r="M191" s="125"/>
      <c r="N191" s="111" t="str">
        <f t="shared" si="228"/>
        <v>Tarrant</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67"/>
      <c r="B192" s="115"/>
      <c r="C192" s="116"/>
      <c r="D192" s="73">
        <v>50</v>
      </c>
      <c r="E192" s="72">
        <f>+VLOOKUP($N191,'HOME 2-25-2013'!$A$1:$BH$256,12+E$189,FALSE)</f>
        <v>25000</v>
      </c>
      <c r="F192" s="72">
        <f>+VLOOKUP($N191,'HOME 2-25-2013'!$A$1:$BH$256,12+F$189,FALSE)</f>
        <v>28600</v>
      </c>
      <c r="G192" s="72">
        <f>+VLOOKUP($N191,'HOME 2-25-2013'!$A$1:$BH$256,12+G$189,FALSE)</f>
        <v>32150</v>
      </c>
      <c r="H192" s="72">
        <f>+VLOOKUP($N191,'HOME 2-25-2013'!$A$1:$BH$256,12+H$189,FALSE)</f>
        <v>35700</v>
      </c>
      <c r="I192" s="72">
        <f>+VLOOKUP($N191,'HOME 2-25-2013'!$A$1:$BH$256,12+I$189,FALSE)</f>
        <v>38600</v>
      </c>
      <c r="J192" s="72">
        <f>+VLOOKUP($N191,'HOME 2-25-2013'!$A$1:$BH$256,12+J$189,FALSE)</f>
        <v>41450</v>
      </c>
      <c r="K192" s="72">
        <f>+VLOOKUP($N191,'HOME 2-25-2013'!$A$1:$BH$256,12+K$189,FALSE)</f>
        <v>44300</v>
      </c>
      <c r="L192" s="72">
        <f>+VLOOKUP($N191,'HOME 2-25-2013'!$A$1:$BH$256,12+L$189,FALSE)</f>
        <v>47150</v>
      </c>
      <c r="M192" s="125"/>
      <c r="N192" s="111" t="str">
        <f t="shared" si="228"/>
        <v>Tarrant</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67"/>
      <c r="B193" s="115"/>
      <c r="C193" s="116"/>
      <c r="D193" s="73">
        <v>60</v>
      </c>
      <c r="E193" s="72">
        <f>+VLOOKUP($N192,'HOME 2-25-2013'!$A$1:$BH$256,20+E$189,FALSE)</f>
        <v>30000</v>
      </c>
      <c r="F193" s="72">
        <f>+VLOOKUP($N192,'HOME 2-25-2013'!$A$1:$BH$256,20+F$189,FALSE)</f>
        <v>34320</v>
      </c>
      <c r="G193" s="72">
        <f>+VLOOKUP($N192,'HOME 2-25-2013'!$A$1:$BH$256,20+G$189,FALSE)</f>
        <v>38580</v>
      </c>
      <c r="H193" s="72">
        <f>+VLOOKUP($N192,'HOME 2-25-2013'!$A$1:$BH$256,20+H$189,FALSE)</f>
        <v>42840</v>
      </c>
      <c r="I193" s="72">
        <f>+VLOOKUP($N192,'HOME 2-25-2013'!$A$1:$BH$256,20+I$189,FALSE)</f>
        <v>46320</v>
      </c>
      <c r="J193" s="72">
        <f>+VLOOKUP($N192,'HOME 2-25-2013'!$A$1:$BH$256,20+J$189,FALSE)</f>
        <v>49740</v>
      </c>
      <c r="K193" s="72">
        <f>+VLOOKUP($N192,'HOME 2-25-2013'!$A$1:$BH$256,20+K$189,FALSE)</f>
        <v>53160</v>
      </c>
      <c r="L193" s="72">
        <f>+VLOOKUP($N192,'HOME 2-25-2013'!$A$1:$BH$256,20+L$189,FALSE)</f>
        <v>56580</v>
      </c>
      <c r="M193" s="125"/>
      <c r="N193" s="111" t="str">
        <f t="shared" si="228"/>
        <v>Tarrant</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67"/>
      <c r="B194" s="115"/>
      <c r="C194" s="116"/>
      <c r="D194" s="74">
        <v>80</v>
      </c>
      <c r="E194" s="166">
        <f>+VLOOKUP($N193,'HOME 2-25-2013'!$A$1:$BH$256,28+E$189,FALSE)</f>
        <v>40000</v>
      </c>
      <c r="F194" s="75">
        <f>+VLOOKUP($N193,'HOME 2-25-2013'!$A$1:$BH$256,28+F$189,FALSE)</f>
        <v>45700</v>
      </c>
      <c r="G194" s="75">
        <f>+VLOOKUP($N193,'HOME 2-25-2013'!$A$1:$BH$256,28+G$189,FALSE)</f>
        <v>51400</v>
      </c>
      <c r="H194" s="75">
        <f>+VLOOKUP($N193,'HOME 2-25-2013'!$A$1:$BH$256,28+H$189,FALSE)</f>
        <v>57100</v>
      </c>
      <c r="I194" s="75">
        <f>+VLOOKUP($N193,'HOME 2-25-2013'!$A$1:$BH$256,28+I$189,FALSE)</f>
        <v>61700</v>
      </c>
      <c r="J194" s="75">
        <f>+VLOOKUP($N193,'HOME 2-25-2013'!$A$1:$BH$256,28+J$189,FALSE)</f>
        <v>66250</v>
      </c>
      <c r="K194" s="75">
        <f>+VLOOKUP($N193,'HOME 2-25-2013'!$A$1:$BH$256,28+K$189,FALSE)</f>
        <v>70850</v>
      </c>
      <c r="L194" s="167">
        <f>+VLOOKUP($N193,'HOME 2-25-2013'!$A$1:$BH$256,28+L$189,FALSE)</f>
        <v>75400</v>
      </c>
      <c r="M194" s="125"/>
      <c r="N194" s="111" t="str">
        <f t="shared" si="228"/>
        <v>Tarrant</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67"/>
      <c r="B195" s="115"/>
      <c r="C195" s="116"/>
      <c r="D195" s="74">
        <v>120</v>
      </c>
      <c r="E195" s="75"/>
      <c r="F195" s="75"/>
      <c r="G195" s="75"/>
      <c r="H195" s="75"/>
      <c r="I195" s="75"/>
      <c r="J195" s="75"/>
      <c r="K195" s="75"/>
      <c r="L195" s="75"/>
      <c r="M195" s="127"/>
      <c r="N195" s="111" t="str">
        <f t="shared" si="228"/>
        <v>Tarrant</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67"/>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67"/>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67"/>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67"/>
      <c r="B199" s="115"/>
      <c r="C199" s="116"/>
      <c r="D199" s="71">
        <v>30</v>
      </c>
      <c r="E199" s="72">
        <f>ROUNDDOWN(0.3*E190/12,0)</f>
        <v>375</v>
      </c>
      <c r="F199" s="72">
        <f>ROUNDDOWN(AVERAGE(E190,F190)/12*0.3,0)</f>
        <v>401</v>
      </c>
      <c r="G199" s="72">
        <f>ROUNDDOWN(0.3*G190/12,0)</f>
        <v>482</v>
      </c>
      <c r="H199" s="72">
        <f>ROUNDDOWN(AVERAGE(I190,H190)/12*0.3,0)</f>
        <v>556</v>
      </c>
      <c r="I199" s="72">
        <f>ROUNDDOWN(0.3*J190/12,0)</f>
        <v>621</v>
      </c>
      <c r="J199" s="72">
        <f>ROUNDDOWN(AVERAGE(K190,L190)/12*0.3,0)</f>
        <v>685</v>
      </c>
      <c r="K199" s="60"/>
      <c r="L199" s="61"/>
      <c r="M199" s="125"/>
      <c r="N199" s="111" t="str">
        <f>+B$11</f>
        <v>Tarrant</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67"/>
      <c r="B200" s="115"/>
      <c r="C200" s="116"/>
      <c r="D200" s="73">
        <v>40</v>
      </c>
      <c r="E200" s="72">
        <f>ROUNDDOWN(0.3*E191/12,0)</f>
        <v>500</v>
      </c>
      <c r="F200" s="72">
        <f>ROUNDDOWN(AVERAGE(E191,F191)/12*0.3,0)</f>
        <v>536</v>
      </c>
      <c r="G200" s="72">
        <f>ROUNDDOWN(0.3*G191/12,0)</f>
        <v>643</v>
      </c>
      <c r="H200" s="72">
        <f>ROUNDDOWN(AVERAGE(I191,H191)/12*0.3,0)</f>
        <v>743</v>
      </c>
      <c r="I200" s="72">
        <f>ROUNDDOWN(0.3*J191/12,0)</f>
        <v>829</v>
      </c>
      <c r="J200" s="72">
        <f>ROUNDDOWN(AVERAGE(K191,L191)/12*0.3,0)</f>
        <v>914</v>
      </c>
      <c r="K200" s="51"/>
      <c r="L200" s="52"/>
      <c r="M200" s="125"/>
      <c r="N200" s="111" t="str">
        <f>+B$11</f>
        <v>Tarrant</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67"/>
      <c r="B201" s="115"/>
      <c r="C201" s="116"/>
      <c r="D201" s="77" t="s">
        <v>1369</v>
      </c>
      <c r="E201" s="72">
        <f>+VLOOKUP($N$208,'2016 HOME rent 6-6-2016'!$A$2:$P$256,5+$E$205,FALSE)</f>
        <v>610</v>
      </c>
      <c r="F201" s="72">
        <f>+VLOOKUP($N$208,'2016 HOME rent 6-6-2016'!$A$2:$P$256,6+$E$205,FALSE)</f>
        <v>653</v>
      </c>
      <c r="G201" s="72">
        <f>+VLOOKUP($N$208,'2016 HOME rent 6-6-2016'!$A$2:$P$256,7+$E$205,FALSE)</f>
        <v>785</v>
      </c>
      <c r="H201" s="72">
        <f>+VLOOKUP($N$208,'2016 HOME rent 6-6-2016'!$A$2:$P$256,8+$E$205,FALSE)</f>
        <v>906</v>
      </c>
      <c r="I201" s="72">
        <f>+VLOOKUP($N$208,'2016 HOME rent 6-6-2016'!$A$2:$P$256,9+$E$205,FALSE)</f>
        <v>1011</v>
      </c>
      <c r="J201" s="72">
        <f>+VLOOKUP($N$208,'2016 HOME rent 6-6-2016'!$A$2:$P$256,10+$E$205,FALSE)</f>
        <v>1116</v>
      </c>
      <c r="K201" s="51"/>
      <c r="L201" s="52"/>
      <c r="M201" s="125"/>
      <c r="N201" s="111" t="str">
        <f>+B$11</f>
        <v>Tarrant</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67"/>
      <c r="B202" s="115"/>
      <c r="C202" s="116"/>
      <c r="D202" s="77" t="s">
        <v>1370</v>
      </c>
      <c r="E202" s="72">
        <f>+VLOOKUP($N$208,'2016 HOME rent 6-6-2016'!$A$2:$P$256,11+$E$205,FALSE)</f>
        <v>624</v>
      </c>
      <c r="F202" s="72">
        <f>+VLOOKUP($N$208,'2016 HOME rent 6-6-2016'!$A$2:$P$256,12+$E$205,FALSE)</f>
        <v>718</v>
      </c>
      <c r="G202" s="72">
        <f>+VLOOKUP($N$208,'2016 HOME rent 6-6-2016'!$A$2:$P$256,13+$E$205,FALSE)</f>
        <v>913</v>
      </c>
      <c r="H202" s="72">
        <f>+VLOOKUP($N$208,'2016 HOME rent 6-6-2016'!$A$2:$P$256,14+$E$205,FALSE)</f>
        <v>1201</v>
      </c>
      <c r="I202" s="72">
        <f>+VLOOKUP($N$208,'2016 HOME rent 6-6-2016'!$A$2:$P$256,15+$E$205,FALSE)</f>
        <v>1320</v>
      </c>
      <c r="J202" s="72">
        <f>+VLOOKUP($N$208,'2016 HOME rent 6-6-2016'!$A$2:$P$256,16+$E$205,FALSE)</f>
        <v>1438</v>
      </c>
      <c r="K202" s="51"/>
      <c r="L202" s="52"/>
      <c r="M202" s="125"/>
      <c r="N202" s="111" t="str">
        <f>+B$11</f>
        <v>Tarrant</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67"/>
      <c r="B203" s="118"/>
      <c r="C203" s="119"/>
      <c r="D203" s="62"/>
      <c r="E203" s="63"/>
      <c r="F203" s="63"/>
      <c r="G203" s="63"/>
      <c r="H203" s="63"/>
      <c r="I203" s="63"/>
      <c r="J203" s="64"/>
      <c r="K203" s="53"/>
      <c r="L203" s="54"/>
      <c r="M203" s="127"/>
      <c r="N203" s="111" t="str">
        <f>+B$11</f>
        <v>Tarrant</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67"/>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67"/>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67"/>
      <c r="B206" s="115"/>
      <c r="C206" s="116"/>
      <c r="D206" s="71">
        <v>30</v>
      </c>
      <c r="E206" s="72">
        <f>ROUNDDOWN(0.3*E190/12,0)</f>
        <v>375</v>
      </c>
      <c r="F206" s="72">
        <f>ROUNDDOWN(AVERAGE(E190,F190)/12*0.3,0)</f>
        <v>401</v>
      </c>
      <c r="G206" s="72">
        <f>ROUNDDOWN(0.3*G190/12,0)</f>
        <v>482</v>
      </c>
      <c r="H206" s="72">
        <f>ROUNDDOWN(AVERAGE(I190,H190)/12*0.3,0)</f>
        <v>556</v>
      </c>
      <c r="I206" s="72">
        <f>ROUNDDOWN(0.3*J190/12,0)</f>
        <v>621</v>
      </c>
      <c r="J206" s="72">
        <f>ROUNDDOWN(AVERAGE(K190,L190)/12*0.3,0)</f>
        <v>685</v>
      </c>
      <c r="K206" s="60"/>
      <c r="L206" s="61"/>
      <c r="M206" s="125"/>
      <c r="N206" s="111" t="str">
        <f>+B$11</f>
        <v>Tarrant</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67"/>
      <c r="B207" s="115"/>
      <c r="C207" s="116"/>
      <c r="D207" s="77">
        <v>40</v>
      </c>
      <c r="E207" s="72">
        <f>ROUNDDOWN(0.3*E191/12,0)</f>
        <v>500</v>
      </c>
      <c r="F207" s="72">
        <f>ROUNDDOWN(AVERAGE(E191,F191)/12*0.3,0)</f>
        <v>536</v>
      </c>
      <c r="G207" s="72">
        <f>ROUNDDOWN(0.3*G191/12,0)</f>
        <v>643</v>
      </c>
      <c r="H207" s="72">
        <f>ROUNDDOWN(AVERAGE(I191,H191)/12*0.3,0)</f>
        <v>743</v>
      </c>
      <c r="I207" s="72">
        <f>ROUNDDOWN(0.3*J191/12,0)</f>
        <v>829</v>
      </c>
      <c r="J207" s="72">
        <f>ROUNDDOWN(AVERAGE(K191,L191)/12*0.3,0)</f>
        <v>914</v>
      </c>
      <c r="K207" s="51"/>
      <c r="L207" s="52"/>
      <c r="M207" s="125"/>
      <c r="N207" s="111" t="str">
        <f>+B$11</f>
        <v>Tarrant</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67"/>
      <c r="B208" s="115"/>
      <c r="C208" s="116"/>
      <c r="D208" s="77" t="s">
        <v>1369</v>
      </c>
      <c r="E208" s="72">
        <f>+VLOOKUP($N$208,'2017 HOME rent 6-15-2017'!$A$2:$P$256,5+$E$205,FALSE)</f>
        <v>625</v>
      </c>
      <c r="F208" s="72">
        <f>+VLOOKUP($N$208,'2017 HOME rent 6-15-2017'!$A$2:$P$256,6+$E$205,FALSE)</f>
        <v>670</v>
      </c>
      <c r="G208" s="72">
        <f>+VLOOKUP($N$208,'2017 HOME rent 6-15-2017'!$A$2:$P$256,7+$E$205,FALSE)</f>
        <v>803</v>
      </c>
      <c r="H208" s="72">
        <f>+VLOOKUP($N$208,'2017 HOME rent 6-15-2017'!$A$2:$P$256,8+$E$205,FALSE)</f>
        <v>928</v>
      </c>
      <c r="I208" s="72">
        <f>+VLOOKUP($N$208,'2017 HOME rent 6-15-2017'!$A$2:$P$256,9+$E$205,FALSE)</f>
        <v>1036</v>
      </c>
      <c r="J208" s="72">
        <f>+VLOOKUP($N$208,'2017 HOME rent 6-15-2017'!$A$2:$P$256,10+$E$205,FALSE)</f>
        <v>1143</v>
      </c>
      <c r="K208" s="51"/>
      <c r="L208" s="52"/>
      <c r="M208" s="125"/>
      <c r="N208" s="111" t="str">
        <f>+B$11</f>
        <v>Tarrant</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67"/>
      <c r="B209" s="115"/>
      <c r="C209" s="116"/>
      <c r="D209" s="77" t="s">
        <v>1370</v>
      </c>
      <c r="E209" s="72">
        <f>+VLOOKUP($N$208,'2017 HOME rent 6-15-2017'!$A$2:$P$256,11+$E$205,FALSE)</f>
        <v>671</v>
      </c>
      <c r="F209" s="72">
        <f>+VLOOKUP($N$208,'2017 HOME rent 6-15-2017'!$A$2:$P$256,12+$E$205,FALSE)</f>
        <v>770</v>
      </c>
      <c r="G209" s="72">
        <f>+VLOOKUP($N$208,'2017 HOME rent 6-15-2017'!$A$2:$P$256,13+$E$205,FALSE)</f>
        <v>973</v>
      </c>
      <c r="H209" s="72">
        <f>+VLOOKUP($N$208,'2017 HOME rent 6-15-2017'!$A$2:$P$256,14+$E$205,FALSE)</f>
        <v>1287</v>
      </c>
      <c r="I209" s="72">
        <f>+VLOOKUP($N$208,'2017 HOME rent 6-15-2017'!$A$2:$P$256,15+$E$205,FALSE)</f>
        <v>1416</v>
      </c>
      <c r="J209" s="72">
        <f>+VLOOKUP($N$208,'2017 HOME rent 6-15-2017'!$A$2:$P$256,16+$E$205,FALSE)</f>
        <v>1544</v>
      </c>
      <c r="K209" s="51"/>
      <c r="L209" s="52"/>
      <c r="M209" s="125"/>
      <c r="N209" s="111" t="str">
        <f>+B$11</f>
        <v>Tarrant</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67"/>
      <c r="B210" s="118"/>
      <c r="C210" s="119"/>
      <c r="D210" s="62"/>
      <c r="E210" s="63"/>
      <c r="F210" s="63"/>
      <c r="G210" s="63"/>
      <c r="H210" s="63"/>
      <c r="I210" s="63"/>
      <c r="J210" s="64"/>
      <c r="K210" s="53"/>
      <c r="L210" s="54"/>
      <c r="M210" s="127"/>
      <c r="N210" s="128" t="str">
        <f>+B$11</f>
        <v>Tarrant</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62"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63"/>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63"/>
      <c r="B214" s="157"/>
      <c r="C214" s="158"/>
      <c r="D214" s="150">
        <v>30</v>
      </c>
      <c r="E214" s="151">
        <f>+E216*0.6</f>
        <v>15000</v>
      </c>
      <c r="F214" s="151">
        <f t="shared" ref="F214:L214" si="230">+F216*0.6</f>
        <v>17160</v>
      </c>
      <c r="G214" s="151">
        <f t="shared" si="230"/>
        <v>19290</v>
      </c>
      <c r="H214" s="151">
        <f t="shared" si="230"/>
        <v>21420</v>
      </c>
      <c r="I214" s="151">
        <f t="shared" si="230"/>
        <v>23160</v>
      </c>
      <c r="J214" s="151">
        <f t="shared" si="230"/>
        <v>24870</v>
      </c>
      <c r="K214" s="151">
        <f t="shared" si="230"/>
        <v>26580</v>
      </c>
      <c r="L214" s="151">
        <f t="shared" si="230"/>
        <v>28290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63"/>
      <c r="B215" s="157"/>
      <c r="C215" s="158"/>
      <c r="D215" s="152">
        <v>40</v>
      </c>
      <c r="E215" s="151">
        <f>+E216*0.8</f>
        <v>20000</v>
      </c>
      <c r="F215" s="151">
        <f t="shared" ref="F215:L215" si="231">+F216*0.8</f>
        <v>22880</v>
      </c>
      <c r="G215" s="151">
        <f t="shared" si="231"/>
        <v>25720</v>
      </c>
      <c r="H215" s="151">
        <f t="shared" si="231"/>
        <v>28560</v>
      </c>
      <c r="I215" s="151">
        <f t="shared" si="231"/>
        <v>30880</v>
      </c>
      <c r="J215" s="151">
        <f t="shared" si="231"/>
        <v>33160</v>
      </c>
      <c r="K215" s="151">
        <f t="shared" si="231"/>
        <v>35440</v>
      </c>
      <c r="L215" s="151">
        <f t="shared" si="231"/>
        <v>37720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63"/>
      <c r="B216" s="157"/>
      <c r="C216" s="158"/>
      <c r="D216" s="152">
        <v>50</v>
      </c>
      <c r="E216" s="151">
        <f>+VLOOKUP($N216,'NSP12-I'!$A$3:$R$257,2+E$213)</f>
        <v>25000</v>
      </c>
      <c r="F216" s="151">
        <f>+VLOOKUP($N216,'NSP12-I'!$A$3:$R$257,2+F$213)</f>
        <v>28600</v>
      </c>
      <c r="G216" s="151">
        <f>+VLOOKUP($N216,'NSP12-I'!$A$3:$R$257,2+G$213)</f>
        <v>32150</v>
      </c>
      <c r="H216" s="151">
        <f>+VLOOKUP($N216,'NSP12-I'!$A$3:$R$257,2+H$213)</f>
        <v>35700</v>
      </c>
      <c r="I216" s="151">
        <f>+VLOOKUP($N216,'NSP12-I'!$A$3:$R$257,2+I$213)</f>
        <v>38600</v>
      </c>
      <c r="J216" s="151">
        <f>+VLOOKUP($N216,'NSP12-I'!$A$3:$R$257,2+J$213)</f>
        <v>41450</v>
      </c>
      <c r="K216" s="151">
        <f>+VLOOKUP($N216,'NSP12-I'!$A$3:$R$257,2+K$213)</f>
        <v>44300</v>
      </c>
      <c r="L216" s="151">
        <f>+VLOOKUP($N216,'NSP12-I'!$A$3:$R$257,2+L$213)</f>
        <v>47150</v>
      </c>
      <c r="M216" s="125"/>
      <c r="N216" s="111" t="str">
        <f>+CONCATENATE($B$11)</f>
        <v>Tarrant</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63"/>
      <c r="B217" s="157"/>
      <c r="C217" s="158"/>
      <c r="D217" s="152">
        <v>60</v>
      </c>
      <c r="E217" s="151">
        <f>+E216*1.2</f>
        <v>30000</v>
      </c>
      <c r="F217" s="151">
        <f t="shared" ref="F217:L217" si="232">+F216*1.2</f>
        <v>34320</v>
      </c>
      <c r="G217" s="151">
        <f t="shared" si="232"/>
        <v>38580</v>
      </c>
      <c r="H217" s="151">
        <f t="shared" si="232"/>
        <v>42840</v>
      </c>
      <c r="I217" s="151">
        <f t="shared" si="232"/>
        <v>46320</v>
      </c>
      <c r="J217" s="151">
        <f t="shared" si="232"/>
        <v>49740</v>
      </c>
      <c r="K217" s="151">
        <f t="shared" si="232"/>
        <v>53160</v>
      </c>
      <c r="L217" s="151">
        <f t="shared" si="232"/>
        <v>56580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63"/>
      <c r="B218" s="157"/>
      <c r="C218" s="158"/>
      <c r="D218" s="153">
        <v>80</v>
      </c>
      <c r="E218" s="154">
        <f>+E216*1.6</f>
        <v>40000</v>
      </c>
      <c r="F218" s="154">
        <f t="shared" ref="F218:L218" si="233">+F216*1.6</f>
        <v>45760</v>
      </c>
      <c r="G218" s="154">
        <f t="shared" si="233"/>
        <v>51440</v>
      </c>
      <c r="H218" s="154">
        <f t="shared" si="233"/>
        <v>57120</v>
      </c>
      <c r="I218" s="154">
        <f t="shared" si="233"/>
        <v>61760</v>
      </c>
      <c r="J218" s="154">
        <f t="shared" si="233"/>
        <v>66320</v>
      </c>
      <c r="K218" s="154">
        <f t="shared" si="233"/>
        <v>70880</v>
      </c>
      <c r="L218" s="154">
        <f t="shared" si="233"/>
        <v>75440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63"/>
      <c r="B219" s="157"/>
      <c r="C219" s="158"/>
      <c r="D219" s="153">
        <v>120</v>
      </c>
      <c r="E219" s="154">
        <f>+VLOOKUP($N219,'NSP12-I'!$A$3:$R$257,10+E$213)</f>
        <v>60000</v>
      </c>
      <c r="F219" s="154">
        <f>+VLOOKUP($N219,'NSP12-I'!$A$3:$R$257,10+F$213)</f>
        <v>68550</v>
      </c>
      <c r="G219" s="154">
        <f>+VLOOKUP($N219,'NSP12-I'!$A$3:$R$257,10+G$213)</f>
        <v>77100</v>
      </c>
      <c r="H219" s="154">
        <f>+VLOOKUP($N219,'NSP12-I'!$A$3:$R$257,10+H$213)</f>
        <v>85700</v>
      </c>
      <c r="I219" s="154">
        <f>+VLOOKUP($N219,'NSP12-I'!$A$3:$R$257,10+I$213)</f>
        <v>92550</v>
      </c>
      <c r="J219" s="154">
        <f>+VLOOKUP($N219,'NSP12-I'!$A$3:$R$257,10+J$213)</f>
        <v>99400</v>
      </c>
      <c r="K219" s="154">
        <f>+VLOOKUP($N219,'NSP12-I'!$A$3:$R$257,10+K$213)</f>
        <v>106250</v>
      </c>
      <c r="L219" s="154">
        <f>+VLOOKUP($N219,'NSP12-I'!$A$3:$R$257,10+L$213)</f>
        <v>113100</v>
      </c>
      <c r="M219" s="127"/>
      <c r="N219" s="128" t="str">
        <f>+CONCATENATE($B$11)</f>
        <v>Tarrant</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63"/>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63"/>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63"/>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63"/>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63"/>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63"/>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63"/>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64"/>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53"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54"/>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idden="1">
      <c r="A231" s="354"/>
      <c r="B231" s="301"/>
      <c r="C231" s="302"/>
      <c r="D231" s="310">
        <v>30</v>
      </c>
      <c r="E231" s="311">
        <f>INDEX(NHTF2018!D4:D259,MATCH($N$231, NHTF2018!$A$4:$A$259, 0))</f>
        <v>15000</v>
      </c>
      <c r="F231" s="311">
        <f>INDEX(NHTF2018!E4:E259,MATCH($N$231, NHTF2018!$A$4:$A$259, 0))</f>
        <v>17150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Tarrant</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54"/>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54"/>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54"/>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54"/>
      <c r="B235" s="301"/>
      <c r="C235" s="302"/>
      <c r="D235" s="310">
        <v>30</v>
      </c>
      <c r="E235" s="311">
        <f>INDEX(NHTF2018!AU4:AU259,MATCH($N$231, NHTF2018!$A$4:$A$259, 0))</f>
        <v>375</v>
      </c>
      <c r="F235" s="311">
        <f>INDEX(NHTF2018!AV4:AV259,MATCH($N$231, NHTF2018!$A$4:$A$259, 0))</f>
        <v>401</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Tarrant</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54"/>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54"/>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54"/>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54"/>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54"/>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54"/>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54"/>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54"/>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55"/>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1">
      <c r="AW281" s="212"/>
      <c r="AX281" s="212"/>
      <c r="AY281" s="131" t="s">
        <v>2996</v>
      </c>
      <c r="AZ281" s="211" t="s">
        <v>1532</v>
      </c>
      <c r="BA281" s="209" t="s">
        <v>204</v>
      </c>
      <c r="BB281" s="231" t="s">
        <v>87</v>
      </c>
      <c r="BC281" s="246" t="s">
        <v>1502</v>
      </c>
      <c r="BD281" s="323" t="s">
        <v>2575</v>
      </c>
      <c r="BE281" s="321" t="s">
        <v>1141</v>
      </c>
      <c r="BF281" s="6" t="e">
        <f t="shared" si="235"/>
        <v>#N/A</v>
      </c>
    </row>
    <row r="282" spans="49:58">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1">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 ref="AI100:AP100"/>
    <mergeCell ref="P122:W122"/>
    <mergeCell ref="P56:W56"/>
    <mergeCell ref="AI166:AP166"/>
    <mergeCell ref="AI122:AP122"/>
    <mergeCell ref="AI144:AP144"/>
    <mergeCell ref="P78:W78"/>
    <mergeCell ref="P100:W100"/>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phoneticPr fontId="59" type="noConversion"/>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0 bedroom, 40% of AMFI" sqref="E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1 person, 40% of AMFI" sqref="E16"/>
    <dataValidation allowBlank="1" showInputMessage="1" showErrorMessage="1" prompt="1 person, 50% of AMFI" sqref="E17"/>
    <dataValidation allowBlank="1" showInputMessage="1" showErrorMessage="1" prompt="1 person, 60% of AMFI" sqref="E18"/>
    <dataValidation allowBlank="1" showInputMessage="1" showErrorMessage="1" prompt="1 person, 80% of AMFI" sqref="E19"/>
    <dataValidation allowBlank="1" showInputMessage="1" showErrorMessage="1" prompt="1 person, 120% of AMFI" sqref="E20"/>
    <dataValidation allowBlank="1" showInputMessage="1" showErrorMessage="1" prompt="0 bedroom, 50% of AMFI" sqref="E28"/>
    <dataValidation allowBlank="1" showInputMessage="1" showErrorMessage="1" prompt="0 bedroom, 60% of AMFI" sqref="E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s,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$BE$10:$BE$1109</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$AU$10:$AU$30</formula1>
    </dataValidation>
    <dataValidation type="list" allowBlank="1" showInputMessage="1" showErrorMessage="1" promptTitle="Project PIS / LURA Date" prompt="Select the PIS Date for the Project. For  State HTF, select the LURA Date." sqref="B18">
      <formula1>$AU$10:$AU$30</formula1>
    </dataValidation>
    <dataValidation allowBlank="1" showInputMessage="1" showErrorMessage="1" prompt="2 persons, 30% of AMFI" sqref="F15"/>
    <dataValidation allowBlank="1" showInputMessage="1" showErrorMessage="1" prompt="3 persons, 30% of AMFI" sqref="G15"/>
    <dataValidation allowBlank="1" showInputMessage="1" showErrorMessage="1" prompt="4 persons, 30% of AMFI" sqref="H15"/>
    <dataValidation allowBlank="1" showInputMessage="1" showErrorMessage="1" prompt="5 persons, 30% of AMFI" sqref="I15"/>
    <dataValidation allowBlank="1" showInputMessage="1" showErrorMessage="1" prompt="6 persons, 30% of AMFI" sqref="J15"/>
    <dataValidation allowBlank="1" showInputMessage="1" showErrorMessage="1" prompt="7 persons, 30% of AMFI" sqref="K15"/>
    <dataValidation allowBlank="1" showInputMessage="1" showErrorMessage="1" prompt="8 persons, 30% of AMFI" sqref="L15"/>
    <dataValidation allowBlank="1" showInputMessage="1" showErrorMessage="1" prompt="2 persons, 40% of AMFI" sqref="F16"/>
    <dataValidation allowBlank="1" showInputMessage="1" showErrorMessage="1" prompt="3 persons, 40% of AMFI" sqref="G16"/>
    <dataValidation allowBlank="1" showInputMessage="1" showErrorMessage="1" prompt="4 persons, 40% of AMFI" sqref="H16"/>
    <dataValidation allowBlank="1" showInputMessage="1" showErrorMessage="1" prompt="5 persons, 40% of AMFI" sqref="I16"/>
    <dataValidation allowBlank="1" showInputMessage="1" showErrorMessage="1" prompt="8 persons,, 40% of AMFI" sqref="L16"/>
    <dataValidation allowBlank="1" showInputMessage="1" showErrorMessage="1" prompt="8 persons,, 50% of AMFI" sqref="L17"/>
    <dataValidation allowBlank="1" showInputMessage="1" showErrorMessage="1" prompt="8 persons,, 60% of AMFI" sqref="L18"/>
    <dataValidation allowBlank="1" showInputMessage="1" showErrorMessage="1" prompt="8 persons,, 80% of AMFI" sqref="L19"/>
    <dataValidation allowBlank="1" showInputMessage="1" showErrorMessage="1" prompt="8 persons,, 120% of AMFI" sqref="L20"/>
    <dataValidation allowBlank="1" showInputMessage="1" showErrorMessage="1" prompt="7 persons, 40% of AMFI" sqref="K16"/>
    <dataValidation allowBlank="1" showInputMessage="1" showErrorMessage="1" prompt="7 persons,50% of AMFI" sqref="K17"/>
    <dataValidation allowBlank="1" showInputMessage="1" showErrorMessage="1" prompt="7 persons, 60% of AMFI" sqref="K18"/>
    <dataValidation allowBlank="1" showInputMessage="1" showErrorMessage="1" prompt="7 persons, 80% of AMFI" sqref="K19"/>
    <dataValidation allowBlank="1" showInputMessage="1" showErrorMessage="1" prompt="7 persons, 120% of AMFI" sqref="K20"/>
    <dataValidation allowBlank="1" showInputMessage="1" showErrorMessage="1" prompt="6 persons, 40% of AMFI" sqref="J16"/>
    <dataValidation allowBlank="1" showInputMessage="1" showErrorMessage="1" prompt="6 persons, 50% of AMFI" sqref="J17"/>
    <dataValidation allowBlank="1" showInputMessage="1" showErrorMessage="1" prompt="6 persons, 60% of AMFI" sqref="J18"/>
    <dataValidation allowBlank="1" showInputMessage="1" showErrorMessage="1" prompt="6 persons, 80% of AMFI" sqref="J19"/>
    <dataValidation allowBlank="1" showInputMessage="1" showErrorMessage="1" prompt="6 persons,120% of AMFI" sqref="J20"/>
    <dataValidation allowBlank="1" showInputMessage="1" showErrorMessage="1" prompt="5 persons, 50% of AMFI" sqref="I17"/>
    <dataValidation allowBlank="1" showInputMessage="1" showErrorMessage="1" prompt="5 persons,  60% of AMFI" sqref="I18"/>
    <dataValidation allowBlank="1" showInputMessage="1" showErrorMessage="1" prompt="5 persons, 80% of AMFI" sqref="I19"/>
    <dataValidation allowBlank="1" showInputMessage="1" showErrorMessage="1" prompt="5 persons, 120% of AMFI" sqref="I20"/>
    <dataValidation allowBlank="1" showInputMessage="1" showErrorMessage="1" prompt="4 persons, 50% of AMFI" sqref="H17"/>
    <dataValidation allowBlank="1" showInputMessage="1" showErrorMessage="1" prompt="4 persons,, 60% of AMFI" sqref="H18"/>
    <dataValidation allowBlank="1" showInputMessage="1" showErrorMessage="1" prompt="4 persons, 80% of AMFI" sqref="H19"/>
    <dataValidation allowBlank="1" showInputMessage="1" showErrorMessage="1" prompt="4 persons,, 120% of AMFI" sqref="H20"/>
    <dataValidation allowBlank="1" showInputMessage="1" showErrorMessage="1" prompt="3 persons,  50% of AMFI" sqref="G17"/>
    <dataValidation allowBlank="1" showInputMessage="1" showErrorMessage="1" prompt="3 persons,  60% of AMFI" sqref="G18"/>
    <dataValidation allowBlank="1" showInputMessage="1" showErrorMessage="1" prompt="3 persons, 80% of AMFI" sqref="G19"/>
    <dataValidation allowBlank="1" showInputMessage="1" showErrorMessage="1" prompt="3 persons,  120% of AMFI" sqref="G20"/>
    <dataValidation allowBlank="1" showInputMessage="1" showErrorMessage="1" prompt="2 persons, 50% of AMFI" sqref="F17"/>
    <dataValidation allowBlank="1" showInputMessage="1" showErrorMessage="1" prompt="2 persons,  60% of AMFI" sqref="F18"/>
    <dataValidation allowBlank="1" showInputMessage="1" showErrorMessage="1" prompt="2 persons, 80% of AMFI" sqref="F19"/>
    <dataValidation allowBlank="1" showInputMessage="1" showErrorMessage="1" prompt="2 persons, 120% of AMFI" sqref="F20"/>
    <dataValidation allowBlank="1" showInputMessage="1" showErrorMessage="1" prompt="1 bedroom, 30% of AMFI" sqref="F26"/>
    <dataValidation allowBlank="1" showInputMessage="1" showErrorMessage="1" prompt="1 bedroom, 40% of AMFI" sqref="F27"/>
    <dataValidation allowBlank="1" showInputMessage="1" showErrorMessage="1" prompt="1 bedroom, 50% of AMFI" sqref="F28"/>
    <dataValidation allowBlank="1" showInputMessage="1" showErrorMessage="1" prompt="1 bedroom, 60% of AMFI" sqref="F29"/>
    <dataValidation allowBlank="1" showInputMessage="1" showErrorMessage="1" prompt="2 bedrooms, 30% of AMFI" sqref="G26"/>
    <dataValidation allowBlank="1" showInputMessage="1" showErrorMessage="1" prompt="2 bedrooms,  40% of AMFI" sqref="G27"/>
    <dataValidation allowBlank="1" showInputMessage="1" showErrorMessage="1" prompt="2 bedrooms, 50% of AMFI" sqref="G28"/>
    <dataValidation allowBlank="1" showInputMessage="1" showErrorMessage="1" prompt="2 bedrooms, 60% of AMFI" sqref="G29"/>
    <dataValidation allowBlank="1" showInputMessage="1" showErrorMessage="1" prompt="3 bedroom, 30% of AMFI" sqref="H26"/>
    <dataValidation allowBlank="1" showInputMessage="1" showErrorMessage="1" prompt="3 bedroom, 40% of AMFI" sqref="H27"/>
    <dataValidation allowBlank="1" showInputMessage="1" showErrorMessage="1" prompt="3 bedroom, 50% of AMFI" sqref="H28"/>
    <dataValidation allowBlank="1" showInputMessage="1" showErrorMessage="1" prompt="3 bedroom, 60% of AMFI" sqref="H29"/>
    <dataValidation allowBlank="1" showInputMessage="1" showErrorMessage="1" prompt="4 bedroom, 30% of AMFI" sqref="I26"/>
    <dataValidation allowBlank="1" showInputMessage="1" showErrorMessage="1" prompt="4 bedroom, 40% of AMFI" sqref="I27"/>
    <dataValidation allowBlank="1" showInputMessage="1" showErrorMessage="1" prompt="4 bedroom, 50% of AMFI" sqref="I28"/>
    <dataValidation allowBlank="1" showInputMessage="1" showErrorMessage="1" prompt="4 bedroom, 60% of AMFI" sqref="I29"/>
    <dataValidation allowBlank="1" showInputMessage="1" showErrorMessage="1" prompt="5 bedroom, 30% of AMFI" sqref="J26"/>
    <dataValidation allowBlank="1" showInputMessage="1" showErrorMessage="1" prompt="5 bedroom, 40% of AMFI" sqref="J27"/>
    <dataValidation allowBlank="1" showInputMessage="1" showErrorMessage="1" prompt="5 bedroom, 50% of AMFI" sqref="J28"/>
    <dataValidation allowBlank="1" showInputMessage="1" showErrorMessage="1" prompt="5 bedroom, 60% of AMFI" sqref="J29"/>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6" orientation="landscape"/>
  <headerFooter>
    <oddFooter>&amp;R&amp;9* Revised 5/4/2018</oddFooter>
  </headerFooter>
  <ignoredErrors>
    <ignoredError sqref="F29:F30 F26:F28" formula="1"/>
  </ignoredErrors>
  <drawing r:id="rId1"/>
  <legacy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AS257"/>
  <sheetViews>
    <sheetView workbookViewId="0">
      <selection activeCell="C43" sqref="C43"/>
    </sheetView>
  </sheetViews>
  <sheetFormatPr baseColWidth="10" defaultColWidth="8.83203125" defaultRowHeight="14" x14ac:dyDescent="0"/>
  <cols>
    <col min="1" max="1" width="28.1640625" bestFit="1" customWidth="1"/>
    <col min="2" max="2" width="21.5" bestFit="1" customWidth="1"/>
    <col min="3" max="3" width="13.6640625" bestFit="1" customWidth="1"/>
    <col min="4" max="4" width="15.16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P256"/>
  <sheetViews>
    <sheetView workbookViewId="0">
      <selection activeCell="T27" sqref="T27"/>
    </sheetView>
  </sheetViews>
  <sheetFormatPr baseColWidth="10" defaultColWidth="8.83203125" defaultRowHeight="14" x14ac:dyDescent="0"/>
  <cols>
    <col min="1" max="1" width="13.664062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P256"/>
  <sheetViews>
    <sheetView workbookViewId="0">
      <selection activeCell="R27" sqref="R27"/>
    </sheetView>
  </sheetViews>
  <sheetFormatPr baseColWidth="10" defaultColWidth="8.83203125" defaultRowHeight="14" x14ac:dyDescent="0"/>
  <cols>
    <col min="1" max="1" width="14.6640625" bestFit="1" customWidth="1"/>
    <col min="2" max="2" width="20.33203125" bestFit="1" customWidth="1"/>
    <col min="3" max="3" width="14.664062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P256"/>
  <sheetViews>
    <sheetView topLeftCell="A205" workbookViewId="0">
      <selection activeCell="T221" sqref="T221"/>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AS257"/>
  <sheetViews>
    <sheetView workbookViewId="0">
      <selection activeCell="A18" sqref="A18"/>
    </sheetView>
  </sheetViews>
  <sheetFormatPr baseColWidth="10" defaultColWidth="8.83203125" defaultRowHeight="14" x14ac:dyDescent="0"/>
  <cols>
    <col min="1" max="1" width="33.33203125" customWidth="1"/>
    <col min="2" max="3" width="20.5" bestFit="1" customWidth="1"/>
    <col min="4" max="4" width="11.6640625" bestFit="1" customWidth="1"/>
    <col min="5" max="12" width="11" style="228" bestFit="1" customWidth="1"/>
    <col min="13" max="20" width="11.33203125" style="3" bestFit="1" customWidth="1"/>
    <col min="21" max="21" width="17" bestFit="1" customWidth="1"/>
    <col min="22" max="29" width="17.33203125" style="203" bestFit="1" customWidth="1"/>
    <col min="30" max="37" width="17.33203125" style="229"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AS257"/>
  <sheetViews>
    <sheetView topLeftCell="A238" workbookViewId="0">
      <selection activeCell="A4" sqref="A4"/>
    </sheetView>
  </sheetViews>
  <sheetFormatPr baseColWidth="10" defaultColWidth="8.83203125" defaultRowHeight="14" x14ac:dyDescent="0"/>
  <cols>
    <col min="1" max="1" width="29.1640625" style="184" customWidth="1"/>
    <col min="2" max="2" width="20.5" style="184" bestFit="1" customWidth="1"/>
    <col min="3" max="3" width="13.6640625" style="184" bestFit="1" customWidth="1"/>
    <col min="4" max="4" width="11.6640625" style="184" bestFit="1" customWidth="1"/>
    <col min="5" max="12" width="11" style="243" bestFit="1" customWidth="1"/>
    <col min="13" max="20" width="11.33203125" style="244" bestFit="1" customWidth="1"/>
    <col min="21" max="21" width="17" style="184" bestFit="1" customWidth="1"/>
    <col min="22" max="29" width="17.33203125" style="243" bestFit="1" customWidth="1"/>
    <col min="30" max="37" width="17.33203125" style="244" bestFit="1" customWidth="1"/>
    <col min="38" max="39" width="11" style="184" bestFit="1" customWidth="1"/>
    <col min="40" max="40" width="10.5" style="184" bestFit="1" customWidth="1"/>
    <col min="41" max="41" width="6.5" style="184" bestFit="1" customWidth="1"/>
    <col min="42" max="42" width="20.5" style="184" bestFit="1" customWidth="1"/>
    <col min="43" max="43" width="6.5" style="184" bestFit="1" customWidth="1"/>
    <col min="44" max="44" width="7" style="184" bestFit="1" customWidth="1"/>
    <col min="45" max="45" width="20.5" style="184" bestFit="1" customWidth="1"/>
    <col min="46" max="16384" width="8.832031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A1:AQ258"/>
  <sheetViews>
    <sheetView zoomScale="130" zoomScaleNormal="130" zoomScalePageLayoutView="130" workbookViewId="0">
      <selection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9" width="17.33203125" style="259" bestFit="1" customWidth="1"/>
    <col min="30" max="37" width="17.33203125" style="263" bestFit="1" customWidth="1"/>
    <col min="38" max="38" width="14.6640625" customWidth="1"/>
    <col min="39" max="39" width="10.5" bestFit="1" customWidth="1"/>
    <col min="40" max="40" width="6.5" bestFit="1" customWidth="1"/>
    <col min="41" max="41" width="20.5" bestFit="1" customWidth="1"/>
    <col min="42" max="42" width="6.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baseColWidth="10" defaultColWidth="8.83203125" defaultRowHeight="14" x14ac:dyDescent="0"/>
  <cols>
    <col min="1" max="1" width="29.1640625" bestFit="1" customWidth="1"/>
    <col min="2" max="3" width="20.5" bestFit="1" customWidth="1"/>
    <col min="4" max="4" width="11.6640625" bestFit="1" customWidth="1"/>
    <col min="5" max="12" width="11" style="259" bestFit="1" customWidth="1"/>
    <col min="13" max="20" width="11.33203125" style="263" bestFit="1" customWidth="1"/>
    <col min="21" max="21" width="17" bestFit="1" customWidth="1"/>
    <col min="22" max="22" width="17.33203125" style="259" customWidth="1"/>
    <col min="23" max="29" width="17.33203125" style="259" bestFit="1" customWidth="1"/>
    <col min="30" max="37" width="17.33203125" style="263"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P256"/>
  <sheetViews>
    <sheetView workbookViewId="0">
      <selection activeCell="V15" sqref="V15"/>
    </sheetView>
  </sheetViews>
  <sheetFormatPr baseColWidth="10" defaultColWidth="8.8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P256"/>
  <sheetViews>
    <sheetView topLeftCell="A37" workbookViewId="0">
      <selection activeCell="A72" sqref="A72:XFD73"/>
    </sheetView>
  </sheetViews>
  <sheetFormatPr baseColWidth="10" defaultColWidth="9.33203125" defaultRowHeight="14" x14ac:dyDescent="0"/>
  <cols>
    <col min="1" max="1" width="12.1640625" customWidth="1"/>
    <col min="2" max="3" width="20.5" bestFit="1" customWidth="1"/>
    <col min="4" max="4" width="2" bestFit="1" customWidth="1"/>
    <col min="5" max="9" width="10" bestFit="1" customWidth="1"/>
    <col min="10" max="10" width="10" style="203" bestFit="1" customWidth="1"/>
    <col min="11" max="15" width="11.1640625" bestFit="1" customWidth="1"/>
    <col min="16" max="16" width="11.16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K1273"/>
  <sheetViews>
    <sheetView workbookViewId="0">
      <selection activeCell="B1" sqref="B1"/>
    </sheetView>
  </sheetViews>
  <sheetFormatPr baseColWidth="10" defaultColWidth="11.5" defaultRowHeight="14" x14ac:dyDescent="0"/>
  <cols>
    <col min="1" max="1" width="36"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P256"/>
  <sheetViews>
    <sheetView topLeftCell="A39" workbookViewId="0">
      <selection activeCell="R73" sqref="R73"/>
    </sheetView>
  </sheetViews>
  <sheetFormatPr baseColWidth="10" defaultColWidth="8.83203125" defaultRowHeight="14" x14ac:dyDescent="0"/>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257"/>
  <sheetViews>
    <sheetView workbookViewId="0">
      <selection activeCell="A18" sqref="A18"/>
    </sheetView>
  </sheetViews>
  <sheetFormatPr baseColWidth="10" defaultColWidth="8.83203125" defaultRowHeight="14" x14ac:dyDescent="0"/>
  <cols>
    <col min="1" max="1" width="21.5" customWidth="1"/>
    <col min="3" max="3" width="56.6640625" bestFit="1" customWidth="1"/>
    <col min="30" max="30" width="25.1640625" customWidth="1"/>
    <col min="46" max="46" width="20.5" bestFit="1" customWidth="1"/>
    <col min="257" max="257" width="21.5" customWidth="1"/>
    <col min="259" max="259" width="56.6640625" bestFit="1" customWidth="1"/>
    <col min="286" max="286" width="25.1640625" customWidth="1"/>
    <col min="302" max="302" width="20.5" bestFit="1" customWidth="1"/>
    <col min="513" max="513" width="21.5" customWidth="1"/>
    <col min="515" max="515" width="56.6640625" bestFit="1" customWidth="1"/>
    <col min="542" max="542" width="25.1640625" customWidth="1"/>
    <col min="558" max="558" width="20.5" bestFit="1" customWidth="1"/>
    <col min="769" max="769" width="21.5" customWidth="1"/>
    <col min="771" max="771" width="56.6640625" bestFit="1" customWidth="1"/>
    <col min="798" max="798" width="25.1640625" customWidth="1"/>
    <col min="814" max="814" width="20.5" bestFit="1" customWidth="1"/>
    <col min="1025" max="1025" width="21.5" customWidth="1"/>
    <col min="1027" max="1027" width="56.6640625" bestFit="1" customWidth="1"/>
    <col min="1054" max="1054" width="25.1640625" customWidth="1"/>
    <col min="1070" max="1070" width="20.5" bestFit="1" customWidth="1"/>
    <col min="1281" max="1281" width="21.5" customWidth="1"/>
    <col min="1283" max="1283" width="56.6640625" bestFit="1" customWidth="1"/>
    <col min="1310" max="1310" width="25.1640625" customWidth="1"/>
    <col min="1326" max="1326" width="20.5" bestFit="1" customWidth="1"/>
    <col min="1537" max="1537" width="21.5" customWidth="1"/>
    <col min="1539" max="1539" width="56.6640625" bestFit="1" customWidth="1"/>
    <col min="1566" max="1566" width="25.1640625" customWidth="1"/>
    <col min="1582" max="1582" width="20.5" bestFit="1" customWidth="1"/>
    <col min="1793" max="1793" width="21.5" customWidth="1"/>
    <col min="1795" max="1795" width="56.6640625" bestFit="1" customWidth="1"/>
    <col min="1822" max="1822" width="25.1640625" customWidth="1"/>
    <col min="1838" max="1838" width="20.5" bestFit="1" customWidth="1"/>
    <col min="2049" max="2049" width="21.5" customWidth="1"/>
    <col min="2051" max="2051" width="56.6640625" bestFit="1" customWidth="1"/>
    <col min="2078" max="2078" width="25.1640625" customWidth="1"/>
    <col min="2094" max="2094" width="20.5" bestFit="1" customWidth="1"/>
    <col min="2305" max="2305" width="21.5" customWidth="1"/>
    <col min="2307" max="2307" width="56.6640625" bestFit="1" customWidth="1"/>
    <col min="2334" max="2334" width="25.1640625" customWidth="1"/>
    <col min="2350" max="2350" width="20.5" bestFit="1" customWidth="1"/>
    <col min="2561" max="2561" width="21.5" customWidth="1"/>
    <col min="2563" max="2563" width="56.6640625" bestFit="1" customWidth="1"/>
    <col min="2590" max="2590" width="25.1640625" customWidth="1"/>
    <col min="2606" max="2606" width="20.5" bestFit="1" customWidth="1"/>
    <col min="2817" max="2817" width="21.5" customWidth="1"/>
    <col min="2819" max="2819" width="56.6640625" bestFit="1" customWidth="1"/>
    <col min="2846" max="2846" width="25.1640625" customWidth="1"/>
    <col min="2862" max="2862" width="20.5" bestFit="1" customWidth="1"/>
    <col min="3073" max="3073" width="21.5" customWidth="1"/>
    <col min="3075" max="3075" width="56.6640625" bestFit="1" customWidth="1"/>
    <col min="3102" max="3102" width="25.1640625" customWidth="1"/>
    <col min="3118" max="3118" width="20.5" bestFit="1" customWidth="1"/>
    <col min="3329" max="3329" width="21.5" customWidth="1"/>
    <col min="3331" max="3331" width="56.6640625" bestFit="1" customWidth="1"/>
    <col min="3358" max="3358" width="25.1640625" customWidth="1"/>
    <col min="3374" max="3374" width="20.5" bestFit="1" customWidth="1"/>
    <col min="3585" max="3585" width="21.5" customWidth="1"/>
    <col min="3587" max="3587" width="56.6640625" bestFit="1" customWidth="1"/>
    <col min="3614" max="3614" width="25.1640625" customWidth="1"/>
    <col min="3630" max="3630" width="20.5" bestFit="1" customWidth="1"/>
    <col min="3841" max="3841" width="21.5" customWidth="1"/>
    <col min="3843" max="3843" width="56.6640625" bestFit="1" customWidth="1"/>
    <col min="3870" max="3870" width="25.1640625" customWidth="1"/>
    <col min="3886" max="3886" width="20.5" bestFit="1" customWidth="1"/>
    <col min="4097" max="4097" width="21.5" customWidth="1"/>
    <col min="4099" max="4099" width="56.6640625" bestFit="1" customWidth="1"/>
    <col min="4126" max="4126" width="25.1640625" customWidth="1"/>
    <col min="4142" max="4142" width="20.5" bestFit="1" customWidth="1"/>
    <col min="4353" max="4353" width="21.5" customWidth="1"/>
    <col min="4355" max="4355" width="56.6640625" bestFit="1" customWidth="1"/>
    <col min="4382" max="4382" width="25.1640625" customWidth="1"/>
    <col min="4398" max="4398" width="20.5" bestFit="1" customWidth="1"/>
    <col min="4609" max="4609" width="21.5" customWidth="1"/>
    <col min="4611" max="4611" width="56.6640625" bestFit="1" customWidth="1"/>
    <col min="4638" max="4638" width="25.1640625" customWidth="1"/>
    <col min="4654" max="4654" width="20.5" bestFit="1" customWidth="1"/>
    <col min="4865" max="4865" width="21.5" customWidth="1"/>
    <col min="4867" max="4867" width="56.6640625" bestFit="1" customWidth="1"/>
    <col min="4894" max="4894" width="25.1640625" customWidth="1"/>
    <col min="4910" max="4910" width="20.5" bestFit="1" customWidth="1"/>
    <col min="5121" max="5121" width="21.5" customWidth="1"/>
    <col min="5123" max="5123" width="56.6640625" bestFit="1" customWidth="1"/>
    <col min="5150" max="5150" width="25.1640625" customWidth="1"/>
    <col min="5166" max="5166" width="20.5" bestFit="1" customWidth="1"/>
    <col min="5377" max="5377" width="21.5" customWidth="1"/>
    <col min="5379" max="5379" width="56.6640625" bestFit="1" customWidth="1"/>
    <col min="5406" max="5406" width="25.1640625" customWidth="1"/>
    <col min="5422" max="5422" width="20.5" bestFit="1" customWidth="1"/>
    <col min="5633" max="5633" width="21.5" customWidth="1"/>
    <col min="5635" max="5635" width="56.6640625" bestFit="1" customWidth="1"/>
    <col min="5662" max="5662" width="25.1640625" customWidth="1"/>
    <col min="5678" max="5678" width="20.5" bestFit="1" customWidth="1"/>
    <col min="5889" max="5889" width="21.5" customWidth="1"/>
    <col min="5891" max="5891" width="56.6640625" bestFit="1" customWidth="1"/>
    <col min="5918" max="5918" width="25.1640625" customWidth="1"/>
    <col min="5934" max="5934" width="20.5" bestFit="1" customWidth="1"/>
    <col min="6145" max="6145" width="21.5" customWidth="1"/>
    <col min="6147" max="6147" width="56.6640625" bestFit="1" customWidth="1"/>
    <col min="6174" max="6174" width="25.1640625" customWidth="1"/>
    <col min="6190" max="6190" width="20.5" bestFit="1" customWidth="1"/>
    <col min="6401" max="6401" width="21.5" customWidth="1"/>
    <col min="6403" max="6403" width="56.6640625" bestFit="1" customWidth="1"/>
    <col min="6430" max="6430" width="25.1640625" customWidth="1"/>
    <col min="6446" max="6446" width="20.5" bestFit="1" customWidth="1"/>
    <col min="6657" max="6657" width="21.5" customWidth="1"/>
    <col min="6659" max="6659" width="56.6640625" bestFit="1" customWidth="1"/>
    <col min="6686" max="6686" width="25.1640625" customWidth="1"/>
    <col min="6702" max="6702" width="20.5" bestFit="1" customWidth="1"/>
    <col min="6913" max="6913" width="21.5" customWidth="1"/>
    <col min="6915" max="6915" width="56.6640625" bestFit="1" customWidth="1"/>
    <col min="6942" max="6942" width="25.1640625" customWidth="1"/>
    <col min="6958" max="6958" width="20.5" bestFit="1" customWidth="1"/>
    <col min="7169" max="7169" width="21.5" customWidth="1"/>
    <col min="7171" max="7171" width="56.6640625" bestFit="1" customWidth="1"/>
    <col min="7198" max="7198" width="25.1640625" customWidth="1"/>
    <col min="7214" max="7214" width="20.5" bestFit="1" customWidth="1"/>
    <col min="7425" max="7425" width="21.5" customWidth="1"/>
    <col min="7427" max="7427" width="56.6640625" bestFit="1" customWidth="1"/>
    <col min="7454" max="7454" width="25.1640625" customWidth="1"/>
    <col min="7470" max="7470" width="20.5" bestFit="1" customWidth="1"/>
    <col min="7681" max="7681" width="21.5" customWidth="1"/>
    <col min="7683" max="7683" width="56.6640625" bestFit="1" customWidth="1"/>
    <col min="7710" max="7710" width="25.1640625" customWidth="1"/>
    <col min="7726" max="7726" width="20.5" bestFit="1" customWidth="1"/>
    <col min="7937" max="7937" width="21.5" customWidth="1"/>
    <col min="7939" max="7939" width="56.6640625" bestFit="1" customWidth="1"/>
    <col min="7966" max="7966" width="25.1640625" customWidth="1"/>
    <col min="7982" max="7982" width="20.5" bestFit="1" customWidth="1"/>
    <col min="8193" max="8193" width="21.5" customWidth="1"/>
    <col min="8195" max="8195" width="56.6640625" bestFit="1" customWidth="1"/>
    <col min="8222" max="8222" width="25.1640625" customWidth="1"/>
    <col min="8238" max="8238" width="20.5" bestFit="1" customWidth="1"/>
    <col min="8449" max="8449" width="21.5" customWidth="1"/>
    <col min="8451" max="8451" width="56.6640625" bestFit="1" customWidth="1"/>
    <col min="8478" max="8478" width="25.1640625" customWidth="1"/>
    <col min="8494" max="8494" width="20.5" bestFit="1" customWidth="1"/>
    <col min="8705" max="8705" width="21.5" customWidth="1"/>
    <col min="8707" max="8707" width="56.6640625" bestFit="1" customWidth="1"/>
    <col min="8734" max="8734" width="25.1640625" customWidth="1"/>
    <col min="8750" max="8750" width="20.5" bestFit="1" customWidth="1"/>
    <col min="8961" max="8961" width="21.5" customWidth="1"/>
    <col min="8963" max="8963" width="56.6640625" bestFit="1" customWidth="1"/>
    <col min="8990" max="8990" width="25.1640625" customWidth="1"/>
    <col min="9006" max="9006" width="20.5" bestFit="1" customWidth="1"/>
    <col min="9217" max="9217" width="21.5" customWidth="1"/>
    <col min="9219" max="9219" width="56.6640625" bestFit="1" customWidth="1"/>
    <col min="9246" max="9246" width="25.1640625" customWidth="1"/>
    <col min="9262" max="9262" width="20.5" bestFit="1" customWidth="1"/>
    <col min="9473" max="9473" width="21.5" customWidth="1"/>
    <col min="9475" max="9475" width="56.6640625" bestFit="1" customWidth="1"/>
    <col min="9502" max="9502" width="25.1640625" customWidth="1"/>
    <col min="9518" max="9518" width="20.5" bestFit="1" customWidth="1"/>
    <col min="9729" max="9729" width="21.5" customWidth="1"/>
    <col min="9731" max="9731" width="56.6640625" bestFit="1" customWidth="1"/>
    <col min="9758" max="9758" width="25.1640625" customWidth="1"/>
    <col min="9774" max="9774" width="20.5" bestFit="1" customWidth="1"/>
    <col min="9985" max="9985" width="21.5" customWidth="1"/>
    <col min="9987" max="9987" width="56.6640625" bestFit="1" customWidth="1"/>
    <col min="10014" max="10014" width="25.1640625" customWidth="1"/>
    <col min="10030" max="10030" width="20.5" bestFit="1" customWidth="1"/>
    <col min="10241" max="10241" width="21.5" customWidth="1"/>
    <col min="10243" max="10243" width="56.6640625" bestFit="1" customWidth="1"/>
    <col min="10270" max="10270" width="25.1640625" customWidth="1"/>
    <col min="10286" max="10286" width="20.5" bestFit="1" customWidth="1"/>
    <col min="10497" max="10497" width="21.5" customWidth="1"/>
    <col min="10499" max="10499" width="56.6640625" bestFit="1" customWidth="1"/>
    <col min="10526" max="10526" width="25.1640625" customWidth="1"/>
    <col min="10542" max="10542" width="20.5" bestFit="1" customWidth="1"/>
    <col min="10753" max="10753" width="21.5" customWidth="1"/>
    <col min="10755" max="10755" width="56.6640625" bestFit="1" customWidth="1"/>
    <col min="10782" max="10782" width="25.1640625" customWidth="1"/>
    <col min="10798" max="10798" width="20.5" bestFit="1" customWidth="1"/>
    <col min="11009" max="11009" width="21.5" customWidth="1"/>
    <col min="11011" max="11011" width="56.6640625" bestFit="1" customWidth="1"/>
    <col min="11038" max="11038" width="25.1640625" customWidth="1"/>
    <col min="11054" max="11054" width="20.5" bestFit="1" customWidth="1"/>
    <col min="11265" max="11265" width="21.5" customWidth="1"/>
    <col min="11267" max="11267" width="56.6640625" bestFit="1" customWidth="1"/>
    <col min="11294" max="11294" width="25.1640625" customWidth="1"/>
    <col min="11310" max="11310" width="20.5" bestFit="1" customWidth="1"/>
    <col min="11521" max="11521" width="21.5" customWidth="1"/>
    <col min="11523" max="11523" width="56.6640625" bestFit="1" customWidth="1"/>
    <col min="11550" max="11550" width="25.1640625" customWidth="1"/>
    <col min="11566" max="11566" width="20.5" bestFit="1" customWidth="1"/>
    <col min="11777" max="11777" width="21.5" customWidth="1"/>
    <col min="11779" max="11779" width="56.6640625" bestFit="1" customWidth="1"/>
    <col min="11806" max="11806" width="25.1640625" customWidth="1"/>
    <col min="11822" max="11822" width="20.5" bestFit="1" customWidth="1"/>
    <col min="12033" max="12033" width="21.5" customWidth="1"/>
    <col min="12035" max="12035" width="56.6640625" bestFit="1" customWidth="1"/>
    <col min="12062" max="12062" width="25.1640625" customWidth="1"/>
    <col min="12078" max="12078" width="20.5" bestFit="1" customWidth="1"/>
    <col min="12289" max="12289" width="21.5" customWidth="1"/>
    <col min="12291" max="12291" width="56.6640625" bestFit="1" customWidth="1"/>
    <col min="12318" max="12318" width="25.1640625" customWidth="1"/>
    <col min="12334" max="12334" width="20.5" bestFit="1" customWidth="1"/>
    <col min="12545" max="12545" width="21.5" customWidth="1"/>
    <col min="12547" max="12547" width="56.6640625" bestFit="1" customWidth="1"/>
    <col min="12574" max="12574" width="25.1640625" customWidth="1"/>
    <col min="12590" max="12590" width="20.5" bestFit="1" customWidth="1"/>
    <col min="12801" max="12801" width="21.5" customWidth="1"/>
    <col min="12803" max="12803" width="56.6640625" bestFit="1" customWidth="1"/>
    <col min="12830" max="12830" width="25.1640625" customWidth="1"/>
    <col min="12846" max="12846" width="20.5" bestFit="1" customWidth="1"/>
    <col min="13057" max="13057" width="21.5" customWidth="1"/>
    <col min="13059" max="13059" width="56.6640625" bestFit="1" customWidth="1"/>
    <col min="13086" max="13086" width="25.1640625" customWidth="1"/>
    <col min="13102" max="13102" width="20.5" bestFit="1" customWidth="1"/>
    <col min="13313" max="13313" width="21.5" customWidth="1"/>
    <col min="13315" max="13315" width="56.6640625" bestFit="1" customWidth="1"/>
    <col min="13342" max="13342" width="25.1640625" customWidth="1"/>
    <col min="13358" max="13358" width="20.5" bestFit="1" customWidth="1"/>
    <col min="13569" max="13569" width="21.5" customWidth="1"/>
    <col min="13571" max="13571" width="56.6640625" bestFit="1" customWidth="1"/>
    <col min="13598" max="13598" width="25.1640625" customWidth="1"/>
    <col min="13614" max="13614" width="20.5" bestFit="1" customWidth="1"/>
    <col min="13825" max="13825" width="21.5" customWidth="1"/>
    <col min="13827" max="13827" width="56.6640625" bestFit="1" customWidth="1"/>
    <col min="13854" max="13854" width="25.1640625" customWidth="1"/>
    <col min="13870" max="13870" width="20.5" bestFit="1" customWidth="1"/>
    <col min="14081" max="14081" width="21.5" customWidth="1"/>
    <col min="14083" max="14083" width="56.6640625" bestFit="1" customWidth="1"/>
    <col min="14110" max="14110" width="25.1640625" customWidth="1"/>
    <col min="14126" max="14126" width="20.5" bestFit="1" customWidth="1"/>
    <col min="14337" max="14337" width="21.5" customWidth="1"/>
    <col min="14339" max="14339" width="56.6640625" bestFit="1" customWidth="1"/>
    <col min="14366" max="14366" width="25.1640625" customWidth="1"/>
    <col min="14382" max="14382" width="20.5" bestFit="1" customWidth="1"/>
    <col min="14593" max="14593" width="21.5" customWidth="1"/>
    <col min="14595" max="14595" width="56.6640625" bestFit="1" customWidth="1"/>
    <col min="14622" max="14622" width="25.1640625" customWidth="1"/>
    <col min="14638" max="14638" width="20.5" bestFit="1" customWidth="1"/>
    <col min="14849" max="14849" width="21.5" customWidth="1"/>
    <col min="14851" max="14851" width="56.6640625" bestFit="1" customWidth="1"/>
    <col min="14878" max="14878" width="25.1640625" customWidth="1"/>
    <col min="14894" max="14894" width="20.5" bestFit="1" customWidth="1"/>
    <col min="15105" max="15105" width="21.5" customWidth="1"/>
    <col min="15107" max="15107" width="56.6640625" bestFit="1" customWidth="1"/>
    <col min="15134" max="15134" width="25.1640625" customWidth="1"/>
    <col min="15150" max="15150" width="20.5" bestFit="1" customWidth="1"/>
    <col min="15361" max="15361" width="21.5" customWidth="1"/>
    <col min="15363" max="15363" width="56.6640625" bestFit="1" customWidth="1"/>
    <col min="15390" max="15390" width="25.1640625" customWidth="1"/>
    <col min="15406" max="15406" width="20.5" bestFit="1" customWidth="1"/>
    <col min="15617" max="15617" width="21.5" customWidth="1"/>
    <col min="15619" max="15619" width="56.6640625" bestFit="1" customWidth="1"/>
    <col min="15646" max="15646" width="25.1640625" customWidth="1"/>
    <col min="15662" max="15662" width="20.5" bestFit="1" customWidth="1"/>
    <col min="15873" max="15873" width="21.5" customWidth="1"/>
    <col min="15875" max="15875" width="56.6640625" bestFit="1" customWidth="1"/>
    <col min="15902" max="15902" width="25.1640625" customWidth="1"/>
    <col min="15918" max="15918" width="20.5" bestFit="1" customWidth="1"/>
    <col min="16129" max="16129" width="21.5" customWidth="1"/>
    <col min="16131" max="16131" width="56.6640625" bestFit="1" customWidth="1"/>
    <col min="16158" max="16158" width="25.1640625" customWidth="1"/>
    <col min="16174" max="16174" width="20.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K1273"/>
  <sheetViews>
    <sheetView workbookViewId="0">
      <selection activeCell="B2" sqref="B2"/>
    </sheetView>
  </sheetViews>
  <sheetFormatPr baseColWidth="10" defaultColWidth="11.5" defaultRowHeight="14" x14ac:dyDescent="0"/>
  <cols>
    <col min="1" max="1" width="26.5" customWidth="1"/>
    <col min="2" max="2" width="21.5" bestFit="1" customWidth="1"/>
    <col min="3" max="11" width="11.8320312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K1273"/>
  <sheetViews>
    <sheetView workbookViewId="0">
      <selection activeCell="B2" sqref="B2"/>
    </sheetView>
  </sheetViews>
  <sheetFormatPr baseColWidth="10" defaultColWidth="11.5" defaultRowHeight="14" x14ac:dyDescent="0"/>
  <cols>
    <col min="1" max="1" width="31.83203125" customWidth="1"/>
    <col min="2" max="2" width="21.5" bestFit="1" customWidth="1"/>
    <col min="3" max="3" width="4.5" style="29" bestFit="1" customWidth="1"/>
    <col min="4" max="7" width="8.83203125" style="29" bestFit="1" customWidth="1"/>
    <col min="8" max="8" width="12" style="29" customWidth="1"/>
    <col min="9" max="9" width="8.83203125" style="29" bestFit="1" customWidth="1"/>
    <col min="10" max="10" width="9.1640625" style="29" customWidth="1"/>
    <col min="11" max="11" width="8.8320312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AR257"/>
  <sheetViews>
    <sheetView workbookViewId="0">
      <selection activeCell="C26" sqref="C26"/>
    </sheetView>
  </sheetViews>
  <sheetFormatPr baseColWidth="10" defaultColWidth="8.83203125" defaultRowHeight="14" x14ac:dyDescent="0"/>
  <cols>
    <col min="1" max="1" width="29.3320312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AR257"/>
  <sheetViews>
    <sheetView zoomScale="85" zoomScaleNormal="85" zoomScalePageLayoutView="85" workbookViewId="0">
      <selection activeCell="C26" sqref="C26"/>
    </sheetView>
  </sheetViews>
  <sheetFormatPr baseColWidth="10" defaultColWidth="8.83203125" defaultRowHeight="14" x14ac:dyDescent="0"/>
  <cols>
    <col min="1" max="1" width="37.1640625" customWidth="1"/>
    <col min="2" max="3" width="33.6640625" customWidth="1"/>
    <col min="4" max="4" width="13.3320312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AS257"/>
  <sheetViews>
    <sheetView workbookViewId="0">
      <selection activeCell="B4" sqref="B4:C257"/>
    </sheetView>
  </sheetViews>
  <sheetFormatPr baseColWidth="10" defaultColWidth="8.83203125" defaultRowHeight="14" x14ac:dyDescent="0"/>
  <cols>
    <col min="1" max="1" width="29.5" style="184" customWidth="1"/>
    <col min="2" max="3" width="41" style="184" customWidth="1"/>
    <col min="4" max="16384" width="8.832031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3:R260"/>
  <sheetViews>
    <sheetView topLeftCell="A217" workbookViewId="0">
      <selection activeCell="A18" sqref="A18"/>
    </sheetView>
  </sheetViews>
  <sheetFormatPr baseColWidth="10" defaultColWidth="8.83203125" defaultRowHeight="14" x14ac:dyDescent="0"/>
  <cols>
    <col min="1" max="1" width="13.6640625" bestFit="1" customWidth="1"/>
    <col min="2" max="2" width="50.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H261"/>
  <sheetViews>
    <sheetView topLeftCell="A49" workbookViewId="0">
      <selection activeCell="M65" sqref="M65"/>
    </sheetView>
  </sheetViews>
  <sheetFormatPr baseColWidth="10" defaultColWidth="8.83203125" defaultRowHeight="14" x14ac:dyDescent="0"/>
  <cols>
    <col min="1" max="1" width="32.83203125" customWidth="1"/>
    <col min="2" max="2" width="26" customWidth="1"/>
    <col min="3" max="3" width="17.5" customWidth="1"/>
    <col min="4" max="4" width="2" bestFit="1" customWidth="1"/>
    <col min="5" max="5" width="11.33203125" bestFit="1" customWidth="1"/>
    <col min="13" max="13" width="12.5" customWidth="1"/>
    <col min="14" max="14" width="13" customWidth="1"/>
    <col min="36" max="36" width="12.33203125" customWidth="1"/>
    <col min="49" max="60" width="8.832031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vector>
  </TitlesOfParts>
  <Company>TDHCA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Julien</cp:lastModifiedBy>
  <cp:lastPrinted>2018-05-07T17:24:58Z</cp:lastPrinted>
  <dcterms:created xsi:type="dcterms:W3CDTF">2011-06-01T13:01:36Z</dcterms:created>
  <dcterms:modified xsi:type="dcterms:W3CDTF">2018-05-07T17:36:47Z</dcterms:modified>
</cp:coreProperties>
</file>